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C:\Users\KENREN12\OneDrive\デスクトップ\"/>
    </mc:Choice>
  </mc:AlternateContent>
  <xr:revisionPtr revIDLastSave="0" documentId="13_ncr:1_{5A8B6FA8-A02F-4527-AC90-7E859CA1BF57}" xr6:coauthVersionLast="47" xr6:coauthVersionMax="47" xr10:uidLastSave="{00000000-0000-0000-0000-000000000000}"/>
  <workbookProtection workbookAlgorithmName="SHA-512" workbookHashValue="h7XdAFZ6I8Mth6TxUjl/KpCl4CQzj31DiEsGKoy0wZsOe8hrbK8DpUXzbIEZDMbW3ENjikMRiJPm05TjaTb/Cg==" workbookSaltValue="d3XUthQAJiJNCUOmgPdtqQ==" workbookSpinCount="100000" lockStructure="1"/>
  <bookViews>
    <workbookView xWindow="-120" yWindow="-120" windowWidth="29040" windowHeight="15720" xr2:uid="{00000000-000D-0000-FFFF-FFFF00000000}"/>
  </bookViews>
  <sheets>
    <sheet name="補助事業計画書②" sheetId="20" r:id="rId1"/>
    <sheet name="ExpenseCategoryList" sheetId="2" state="hidden" r:id="rId2"/>
  </sheets>
  <definedNames>
    <definedName name="_Hlk3285324" localSheetId="0">補助事業計画書②!$A$41</definedName>
    <definedName name="_xlnm.Print_Area" localSheetId="0">補助事業計画書②!$A:$AK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29" i="20" l="1"/>
  <c r="DF29" i="20"/>
  <c r="DE29" i="20"/>
  <c r="DD29" i="20"/>
  <c r="DG28" i="20"/>
  <c r="DF28" i="20"/>
  <c r="DE28" i="20"/>
  <c r="DD28" i="20"/>
  <c r="DG27" i="20"/>
  <c r="DF27" i="20"/>
  <c r="DE27" i="20"/>
  <c r="DD27" i="20"/>
  <c r="DG26" i="20"/>
  <c r="DF26" i="20"/>
  <c r="DE26" i="20"/>
  <c r="DD26" i="20"/>
  <c r="DG25" i="20"/>
  <c r="DF25" i="20"/>
  <c r="DE25" i="20"/>
  <c r="DD25" i="20"/>
  <c r="DG24" i="20"/>
  <c r="DF24" i="20"/>
  <c r="DE24" i="20"/>
  <c r="DD24" i="20"/>
  <c r="DG23" i="20"/>
  <c r="DF23" i="20"/>
  <c r="DE23" i="20"/>
  <c r="DD23" i="20"/>
  <c r="DG22" i="20"/>
  <c r="DF22" i="20"/>
  <c r="DE22" i="20"/>
  <c r="DD22" i="20"/>
  <c r="DG21" i="20"/>
  <c r="DF21" i="20"/>
  <c r="DE21" i="20"/>
  <c r="DD21" i="20"/>
  <c r="DG20" i="20"/>
  <c r="DF20" i="20"/>
  <c r="DE20" i="20"/>
  <c r="DD20" i="20"/>
  <c r="DG19" i="20"/>
  <c r="DF19" i="20"/>
  <c r="DE19" i="20"/>
  <c r="DD19" i="20"/>
  <c r="DG18" i="20"/>
  <c r="DF18" i="20"/>
  <c r="DE18" i="20"/>
  <c r="DD18" i="20"/>
  <c r="DG17" i="20"/>
  <c r="DF17" i="20"/>
  <c r="DE17" i="20"/>
  <c r="DD17" i="20"/>
  <c r="DG16" i="20"/>
  <c r="DF16" i="20"/>
  <c r="DE16" i="20"/>
  <c r="DD16" i="20"/>
  <c r="DG15" i="20"/>
  <c r="DF15" i="20"/>
  <c r="DE15" i="20"/>
  <c r="DD15" i="20"/>
  <c r="G65" i="20" l="1"/>
  <c r="G68" i="20" l="1"/>
  <c r="H38" i="2" l="1"/>
  <c r="E37" i="2"/>
  <c r="H15" i="2"/>
  <c r="G15" i="2"/>
  <c r="H11" i="2"/>
  <c r="G11" i="2"/>
  <c r="H8" i="2"/>
  <c r="H10" i="2" s="1"/>
  <c r="X2" i="2"/>
  <c r="W2" i="2"/>
  <c r="V2" i="2"/>
  <c r="T2" i="2"/>
  <c r="Q2" i="2"/>
  <c r="F16" i="2" s="1"/>
  <c r="K2" i="2"/>
  <c r="F12" i="2" s="1"/>
  <c r="E2" i="2"/>
  <c r="G20" i="2" s="1"/>
  <c r="AM36" i="20"/>
  <c r="DG30" i="20"/>
  <c r="DF30" i="20"/>
  <c r="DE30" i="20"/>
  <c r="DD30" i="20"/>
  <c r="DG14" i="20"/>
  <c r="DF14" i="20"/>
  <c r="DE14" i="20"/>
  <c r="DD14" i="20"/>
  <c r="DG13" i="20"/>
  <c r="DF13" i="20"/>
  <c r="DE13" i="20"/>
  <c r="DD13" i="20"/>
  <c r="DG12" i="20"/>
  <c r="DF12" i="20"/>
  <c r="DE12" i="20"/>
  <c r="DD12" i="20"/>
  <c r="DG11" i="20"/>
  <c r="DF11" i="20"/>
  <c r="DE11" i="20"/>
  <c r="DD11" i="20"/>
  <c r="H37" i="2" l="1"/>
  <c r="I38" i="2" s="1"/>
  <c r="J38" i="2" s="1"/>
  <c r="AO32" i="20" s="1"/>
  <c r="E39" i="2"/>
  <c r="E40" i="2" s="1"/>
  <c r="AP39" i="20" s="1"/>
  <c r="H9" i="2"/>
  <c r="G16" i="2"/>
  <c r="G17" i="2"/>
  <c r="AE33" i="20"/>
  <c r="L2" i="2" s="1"/>
  <c r="H39" i="2"/>
  <c r="E48" i="2"/>
  <c r="AE31" i="20"/>
  <c r="Y2" i="2"/>
  <c r="E38" i="2"/>
  <c r="AN39" i="20" s="1"/>
  <c r="G18" i="2" l="1"/>
  <c r="G12" i="2"/>
  <c r="H17" i="2"/>
  <c r="H16" i="2"/>
  <c r="H18" i="2" s="1"/>
  <c r="I2" i="2"/>
  <c r="D2" i="2"/>
  <c r="H20" i="2"/>
  <c r="H21" i="2"/>
  <c r="H41" i="2" l="1"/>
  <c r="AE35" i="20"/>
  <c r="H12" i="2"/>
  <c r="J16" i="2" s="1"/>
  <c r="I12" i="2"/>
  <c r="G14" i="2"/>
  <c r="I14" i="2" s="1"/>
  <c r="H13" i="2"/>
  <c r="J17" i="2" s="1"/>
  <c r="H22" i="2"/>
  <c r="I17" i="2" l="1"/>
  <c r="I16" i="2"/>
  <c r="I20" i="2" s="1"/>
  <c r="H14" i="2"/>
  <c r="J18" i="2" s="1"/>
  <c r="I18" i="2" s="1"/>
  <c r="D57" i="2"/>
  <c r="AM68" i="20" s="1"/>
  <c r="F2" i="2"/>
  <c r="G2" i="2" s="1"/>
  <c r="S2" i="2"/>
  <c r="U2" i="2" s="1"/>
  <c r="E49" i="2" s="1"/>
  <c r="AM41" i="20" s="1"/>
  <c r="N12" i="2" l="1"/>
  <c r="G31" i="2" s="1"/>
  <c r="I22" i="2"/>
  <c r="J22" i="2" s="1"/>
  <c r="L20" i="2"/>
  <c r="I31" i="2"/>
  <c r="P16" i="2"/>
  <c r="I29" i="2" s="1"/>
  <c r="I33" i="2" s="1"/>
  <c r="L16" i="2"/>
  <c r="G29" i="2"/>
  <c r="AR32" i="20" s="1"/>
  <c r="L12" i="2"/>
  <c r="J20" i="2" l="1"/>
  <c r="AE36" i="20" s="1"/>
  <c r="N16" i="2"/>
  <c r="N20" i="2" s="1"/>
  <c r="P12" i="2"/>
  <c r="P20" i="2" s="1"/>
  <c r="E29" i="2"/>
  <c r="AM32" i="20" s="1"/>
  <c r="M16" i="2"/>
  <c r="AP32" i="20"/>
  <c r="AN32" i="20" s="1"/>
  <c r="E46" i="2" l="1"/>
  <c r="AK36" i="20" s="1"/>
  <c r="G33" i="2"/>
  <c r="H2" i="2" s="1"/>
  <c r="M2" i="2" s="1"/>
  <c r="N2" i="2" s="1"/>
  <c r="O2" i="2" s="1"/>
  <c r="J2" i="2" s="1"/>
  <c r="AN34" i="20"/>
  <c r="AN36" i="20"/>
  <c r="H42" i="2" l="1"/>
  <c r="H40" i="2" s="1"/>
  <c r="I42" i="2" s="1"/>
  <c r="J42" i="2" s="1"/>
  <c r="AO37" i="20" s="1"/>
  <c r="P2" i="2"/>
  <c r="I40" i="2" l="1"/>
  <c r="J40" i="2" s="1"/>
  <c r="AO34" i="20" s="1"/>
  <c r="AE34" i="20"/>
  <c r="E31" i="2" s="1"/>
  <c r="AM34" i="20" s="1"/>
  <c r="E34" i="2" l="1"/>
  <c r="AM37" i="20" s="1"/>
  <c r="R2" i="2"/>
  <c r="AE37" i="20" s="1"/>
</calcChain>
</file>

<file path=xl/sharedStrings.xml><?xml version="1.0" encoding="utf-8"?>
<sst xmlns="http://schemas.openxmlformats.org/spreadsheetml/2006/main" count="233" uniqueCount="186">
  <si>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</si>
  <si>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</si>
  <si>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</si>
  <si>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</si>
  <si>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</si>
  <si>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</si>
  <si>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</si>
  <si>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</si>
  <si>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</si>
  <si>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</si>
  <si>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</si>
  <si>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</si>
  <si>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</si>
  <si>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</si>
  <si>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</si>
  <si>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</si>
  <si>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</si>
  <si>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</si>
  <si>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</si>
  <si>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</si>
  <si>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</si>
  <si>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</si>
  <si>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</si>
  <si>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</si>
  <si>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</si>
  <si>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</si>
  <si>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</si>
  <si>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</si>
  <si>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</si>
  <si>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</si>
  <si>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</si>
  <si>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</si>
  <si>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</si>
  <si>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</si>
  <si>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</si>
  <si>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</si>
  <si>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</si>
  <si>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</si>
  <si>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</si>
  <si>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</si>
  <si>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</si>
  <si>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⑥開発費</t>
    <rPh sb="1" eb="4">
      <t>カイハツヒ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</si>
  <si>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</si>
  <si>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</si>
  <si>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</si>
  <si>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</si>
  <si>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</si>
  <si>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</si>
  <si>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</si>
  <si>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</si>
  <si>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</si>
  <si>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</si>
  <si>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※「赤字事業者」については「賃金引上げ枠」にもチェックを入れてください。</t>
    </r>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</si>
  <si>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</si>
  <si>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</si>
  <si>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</si>
  <si>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</si>
  <si>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</si>
  <si>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</si>
  <si>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</si>
  <si>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</si>
  <si>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</si>
  <si>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</si>
  <si>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</si>
  <si>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</si>
  <si>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</si>
  <si>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</si>
  <si>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</si>
  <si>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</si>
  <si>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</si>
  <si>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</si>
  <si>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</si>
  <si>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</si>
  <si>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</si>
  <si>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</si>
  <si>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</si>
  <si>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</si>
  <si>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</si>
  <si>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</si>
  <si>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</si>
  <si>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</si>
  <si>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</si>
  <si>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</si>
  <si>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</si>
  <si>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</si>
  <si>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</si>
  <si>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</si>
  <si>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</si>
  <si>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</si>
  <si>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</si>
  <si>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</si>
  <si>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</si>
  <si>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</si>
  <si>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</si>
  <si>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</si>
  <si>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</si>
  <si>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</si>
  <si>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</si>
  <si>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</si>
  <si>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</si>
  <si>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</si>
  <si>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</si>
  <si>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</si>
  <si>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</si>
  <si>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</si>
  <si>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</si>
  <si>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</si>
  <si>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</si>
  <si>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</si>
  <si>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</si>
  <si>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</si>
  <si>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</si>
  <si>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</si>
  <si>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</si>
  <si>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</si>
  <si>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</si>
  <si>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</si>
  <si>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</si>
  <si>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</si>
  <si>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</si>
  <si>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</si>
  <si>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</si>
  <si>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</si>
  <si>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</si>
  <si>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</si>
  <si>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</si>
  <si>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</si>
  <si>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</si>
  <si>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</si>
  <si>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</si>
  <si>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</si>
  <si>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</si>
  <si>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</si>
  <si>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</si>
  <si>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</si>
  <si>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</si>
  <si>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</si>
  <si>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</si>
  <si>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</si>
  <si>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</si>
  <si>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</si>
  <si>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</si>
  <si>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</si>
  <si>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</si>
  <si>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</si>
  <si>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</si>
  <si>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</si>
  <si>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</si>
  <si>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</si>
  <si>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</si>
  <si>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</si>
  <si>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</si>
  <si>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</si>
  <si>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</si>
  <si>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</si>
  <si>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</si>
  <si>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</si>
  <si>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</si>
  <si>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※補助対象経費の消費税（税抜・税込）区分については、別紙「参考資料」の「１１．消費税等仕入控除税額」を参照のこと。</t>
  </si>
  <si>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</si>
  <si>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</si>
  <si>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</si>
  <si>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</si>
  <si>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</si>
  <si>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</si>
  <si>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　　免税・簡易課税事業者の場合は（税込）を選択してください</t>
    <rPh sb="17" eb="19">
      <t>ゼイコ</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</si>
  <si>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</si>
  <si>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</si>
  <si>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</si>
  <si>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</si>
  <si>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</si>
  <si>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</si>
  <si>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</si>
  <si>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</si>
  <si>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　</t>
  </si>
  <si>
    <t>最大補助額(=E2)</t>
    <rPh sb="0" eb="2">
      <t>サイダイ</t>
    </rPh>
    <rPh sb="2" eb="4">
      <t>ホジョ</t>
    </rPh>
    <rPh sb="4" eb="5">
      <t>ガク</t>
    </rPh>
    <phoneticPr fontId="10"/>
  </si>
  <si>
    <t>希望する特例に
チェック</t>
    <rPh sb="4" eb="6">
      <t>トクレイ</t>
    </rPh>
    <phoneticPr fontId="10"/>
  </si>
  <si>
    <t>2021年9月30日から2023年9月30日の属する課税期間で一度でも免税事業者であった又は免税事業者であることが見込まれる事業者のうち、適格請求書発行事業者の登録が確認できた事業者であること。</t>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</si>
  <si>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</si>
  <si>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</si>
  <si>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</si>
  <si>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補助事業の終了時点において、事業場内最低賃金が申請時の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</si>
  <si>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</si>
  <si>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</si>
  <si>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申請時において、「アトツギ甲子園」のファイナリストおよび準ファイナリストになった事業者であること。</t>
    <phoneticPr fontId="10"/>
  </si>
  <si>
    <t>産業競争力強化法に基づく「認定市区町村」または「認定市区町村」と連携した「認定連携創業支援等事業者」が実施した「特定創業支援等事業」による支援を公募締切時から起算して過去３か年の間に受け、かつ、過去３か年の間に開業した事業者であること。</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</si>
</sst>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2"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70">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Alignment="1">
      <alignment horizontal="center" vertical="center"/>
    </xf>
    <xf numFmtId="0" fontId="0" fillId="0" borderId="13" xfId="0" applyBorder="1">
      <alignment vertical="center"/>
    </xf>
    <xf numFmtId="20" fontId="0" fillId="0" borderId="0" xfId="0" applyNumberFormat="1">
      <alignment vertical="center"/>
    </xf>
    <xf numFmtId="0" fontId="14" fillId="3" borderId="0" xfId="0" applyFont="1" applyFill="1">
      <alignment vertical="center"/>
    </xf>
    <xf numFmtId="0" fontId="7" fillId="0" borderId="0" xfId="0" applyFont="1" applyAlignment="1">
      <alignment vertical="center" shrinkToFit="1"/>
    </xf>
    <xf numFmtId="0" fontId="5" fillId="0" borderId="18" xfId="0" applyFont="1" applyBorder="1">
      <alignment vertical="center"/>
    </xf>
    <xf numFmtId="0" fontId="2" fillId="0" borderId="20" xfId="0" applyFont="1" applyBorder="1" applyAlignment="1">
      <alignment vertical="center" shrinkToFit="1"/>
    </xf>
    <xf numFmtId="0" fontId="2" fillId="0" borderId="22" xfId="0" applyFont="1" applyBorder="1" applyAlignment="1">
      <alignment vertical="center" shrinkToFit="1"/>
    </xf>
    <xf numFmtId="0" fontId="7" fillId="0" borderId="0" xfId="0" applyFont="1" applyAlignment="1">
      <alignment horizontal="left" vertical="center"/>
    </xf>
    <xf numFmtId="0" fontId="15" fillId="0" borderId="0" xfId="0" applyFont="1" applyAlignment="1">
      <alignment vertical="center" shrinkToFit="1"/>
    </xf>
    <xf numFmtId="0" fontId="19" fillId="0" borderId="0" xfId="0"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lignment horizontal="left" vertical="center" wrapText="1" shrinkToFit="1"/>
    </xf>
    <xf numFmtId="0" fontId="0" fillId="4" borderId="1" xfId="0" applyFill="1" applyBorder="1" applyAlignment="1">
      <alignment vertical="center" wrapText="1"/>
    </xf>
    <xf numFmtId="0" fontId="0" fillId="0" borderId="13" xfId="0" applyBorder="1" applyProtection="1">
      <alignment vertical="center"/>
      <protection locked="0"/>
    </xf>
    <xf numFmtId="0" fontId="2" fillId="0" borderId="24" xfId="0" applyFont="1" applyBorder="1" applyAlignment="1">
      <alignment vertical="center" shrinkToFit="1"/>
    </xf>
    <xf numFmtId="0" fontId="2" fillId="0" borderId="25" xfId="0" applyFont="1" applyBorder="1" applyAlignment="1">
      <alignment vertical="center" shrinkToFi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26" fillId="0" borderId="0" xfId="0" applyFont="1">
      <alignment vertical="center"/>
    </xf>
    <xf numFmtId="0" fontId="25" fillId="0" borderId="0" xfId="0" applyFont="1">
      <alignment vertical="center"/>
    </xf>
    <xf numFmtId="0" fontId="30" fillId="3" borderId="0" xfId="0" applyFont="1" applyFill="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Protection="1">
      <alignment vertical="center"/>
      <protection locked="0"/>
    </xf>
    <xf numFmtId="0" fontId="0" fillId="3" borderId="0" xfId="0" applyFill="1">
      <alignment vertical="center"/>
    </xf>
    <xf numFmtId="177" fontId="28" fillId="3" borderId="0" xfId="0" applyNumberFormat="1" applyFont="1" applyFill="1" applyAlignment="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Border="1">
      <alignment vertical="center"/>
    </xf>
    <xf numFmtId="176" fontId="0" fillId="0" borderId="0" xfId="0" applyNumberFormat="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Alignment="1" applyProtection="1">
      <alignment horizontal="right" vertical="top"/>
      <protection hidden="1"/>
    </xf>
    <xf numFmtId="0" fontId="30" fillId="3" borderId="0" xfId="0" applyFont="1" applyFill="1" applyProtection="1">
      <alignment vertical="center"/>
      <protection hidden="1"/>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178" fontId="0" fillId="0" borderId="0" xfId="0" applyNumberFormat="1">
      <alignment vertical="center"/>
    </xf>
    <xf numFmtId="0" fontId="0" fillId="0" borderId="30" xfId="0" applyBorder="1">
      <alignment vertical="center"/>
    </xf>
    <xf numFmtId="178" fontId="32" fillId="0" borderId="0" xfId="0" applyNumberFormat="1" applyFont="1">
      <alignment vertical="center"/>
    </xf>
    <xf numFmtId="0" fontId="33" fillId="0" borderId="0" xfId="0" applyFont="1">
      <alignment vertical="center"/>
    </xf>
    <xf numFmtId="179" fontId="0" fillId="0" borderId="0" xfId="0" applyNumberFormat="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30" fillId="14" borderId="34" xfId="0" applyFont="1" applyFill="1" applyBorder="1">
      <alignment vertical="center"/>
    </xf>
    <xf numFmtId="0" fontId="0" fillId="0" borderId="32" xfId="0" applyBorder="1">
      <alignment vertical="center"/>
    </xf>
    <xf numFmtId="49" fontId="34" fillId="0" borderId="0" xfId="0" applyNumberFormat="1" applyFont="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Alignment="1">
      <alignment horizontal="right" vertical="center"/>
    </xf>
    <xf numFmtId="0" fontId="25" fillId="0" borderId="0" xfId="0" applyFont="1" applyAlignment="1">
      <alignment horizontal="center" vertical="center"/>
    </xf>
    <xf numFmtId="177" fontId="14" fillId="3" borderId="0" xfId="0" applyNumberFormat="1" applyFont="1" applyFill="1" applyAlignment="1" applyProtection="1">
      <alignment horizontal="right" vertical="center"/>
      <protection hidden="1"/>
    </xf>
    <xf numFmtId="49" fontId="0" fillId="0" borderId="0" xfId="0" applyNumberFormat="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Alignment="1">
      <alignment vertical="center" wrapText="1"/>
    </xf>
    <xf numFmtId="0" fontId="0" fillId="10" borderId="0" xfId="0" applyFill="1">
      <alignment vertical="center"/>
    </xf>
    <xf numFmtId="49" fontId="26" fillId="0" borderId="29" xfId="0" applyNumberFormat="1" applyFont="1" applyBorder="1">
      <alignment vertical="center"/>
    </xf>
    <xf numFmtId="176" fontId="0" fillId="0" borderId="35" xfId="0" applyNumberFormat="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182" fontId="31" fillId="7" borderId="0" xfId="1" applyNumberFormat="1" applyFont="1" applyFill="1" applyBorder="1" applyAlignment="1">
      <alignment horizontal="center" vertical="center"/>
    </xf>
    <xf numFmtId="0" fontId="37" fillId="0" borderId="0" xfId="0" applyFont="1" applyAlignment="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lignment horizontal="left" vertical="center"/>
    </xf>
    <xf numFmtId="0" fontId="15" fillId="0" borderId="0" xfId="0" applyFont="1">
      <alignment vertical="center"/>
    </xf>
    <xf numFmtId="0" fontId="21" fillId="0" borderId="0" xfId="0" applyFont="1" applyAlignment="1">
      <alignment horizontal="left" vertical="center" wrapText="1" shrinkToFit="1"/>
    </xf>
    <xf numFmtId="0" fontId="15" fillId="0" borderId="0" xfId="0" applyFont="1" applyAlignment="1">
      <alignment vertical="center" wrapText="1" shrinkToFi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25"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left" vertical="top"/>
    </xf>
    <xf numFmtId="0" fontId="26" fillId="0" borderId="0" xfId="0" applyFont="1" applyAlignment="1" applyProtection="1">
      <alignment horizontal="left" vertical="center"/>
      <protection locked="0"/>
    </xf>
    <xf numFmtId="0" fontId="12" fillId="0" borderId="3" xfId="0" applyFont="1" applyBorder="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9" fillId="0" borderId="0" xfId="0" applyFont="1" applyAlignment="1">
      <alignment horizontal="left" vertical="center" shrinkToFit="1"/>
    </xf>
    <xf numFmtId="0" fontId="15" fillId="0" borderId="0" xfId="0" applyFont="1" applyAlignment="1">
      <alignment horizontal="left" vertical="center" shrinkToFit="1"/>
    </xf>
    <xf numFmtId="0" fontId="21" fillId="0" borderId="0" xfId="0" applyFont="1" applyAlignment="1">
      <alignment horizontal="left" vertical="center" wrapText="1" shrinkToFit="1"/>
    </xf>
    <xf numFmtId="0" fontId="15" fillId="0" borderId="0" xfId="0" applyFont="1" applyAlignment="1">
      <alignment horizontal="left" vertical="center" wrapText="1" shrinkToFit="1"/>
    </xf>
    <xf numFmtId="0" fontId="4" fillId="5" borderId="1" xfId="0" applyFont="1" applyFill="1" applyBorder="1" applyAlignment="1">
      <alignment horizontal="left" vertical="center" wrapText="1"/>
    </xf>
    <xf numFmtId="177" fontId="6" fillId="6"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23" xfId="0" applyFont="1" applyBorder="1" applyAlignment="1" applyProtection="1">
      <alignment horizontal="center" vertical="center" shrinkToFit="1"/>
      <protection locked="0"/>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176" fontId="6" fillId="0" borderId="5" xfId="0" applyNumberFormat="1" applyFont="1" applyBorder="1" applyAlignment="1" applyProtection="1">
      <alignment horizontal="right" vertical="center" wrapText="1"/>
      <protection locked="0"/>
    </xf>
    <xf numFmtId="176" fontId="6" fillId="0" borderId="6" xfId="0" applyNumberFormat="1" applyFont="1" applyBorder="1" applyAlignment="1" applyProtection="1">
      <alignment horizontal="right" vertical="center" wrapText="1"/>
      <protection locked="0"/>
    </xf>
    <xf numFmtId="176" fontId="6" fillId="0" borderId="7" xfId="0" applyNumberFormat="1" applyFont="1" applyBorder="1" applyAlignment="1" applyProtection="1">
      <alignment horizontal="right" vertical="center" wrapText="1"/>
      <protection locked="0"/>
    </xf>
    <xf numFmtId="177" fontId="6" fillId="6" borderId="5" xfId="0" applyNumberFormat="1" applyFont="1" applyFill="1" applyBorder="1" applyAlignment="1">
      <alignment horizontal="right" vertical="center" wrapText="1"/>
    </xf>
    <xf numFmtId="177" fontId="6" fillId="6" borderId="6" xfId="0" applyNumberFormat="1" applyFont="1" applyFill="1" applyBorder="1" applyAlignment="1">
      <alignment horizontal="right" vertical="center" wrapText="1"/>
    </xf>
    <xf numFmtId="177" fontId="6" fillId="6" borderId="7" xfId="0" applyNumberFormat="1" applyFont="1" applyFill="1" applyBorder="1" applyAlignment="1">
      <alignment horizontal="right" vertical="center" wrapText="1"/>
    </xf>
    <xf numFmtId="176" fontId="6" fillId="5" borderId="5" xfId="0" applyNumberFormat="1" applyFont="1" applyFill="1" applyBorder="1" applyAlignment="1">
      <alignment horizontal="right" vertical="center" wrapText="1"/>
    </xf>
    <xf numFmtId="176" fontId="6" fillId="5" borderId="6" xfId="0" applyNumberFormat="1" applyFont="1" applyFill="1" applyBorder="1" applyAlignment="1">
      <alignment horizontal="right" vertical="center" wrapText="1"/>
    </xf>
    <xf numFmtId="176" fontId="6" fillId="5" borderId="7" xfId="0" applyNumberFormat="1" applyFont="1" applyFill="1" applyBorder="1" applyAlignment="1">
      <alignment horizontal="righ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horizontal="left" vertical="center" wrapText="1" shrinkToFi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6" fillId="5" borderId="17" xfId="0" applyFont="1" applyFill="1" applyBorder="1" applyAlignment="1">
      <alignment horizontal="center" vertical="center"/>
    </xf>
    <xf numFmtId="0" fontId="5" fillId="0" borderId="17" xfId="0" applyFont="1" applyBorder="1" applyAlignment="1">
      <alignment horizontal="center" vertical="center"/>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7" fillId="0" borderId="0" xfId="0" applyFont="1">
      <alignment vertical="center"/>
    </xf>
    <xf numFmtId="0" fontId="4" fillId="5" borderId="1" xfId="0" applyFont="1" applyFill="1" applyBorder="1" applyAlignment="1">
      <alignment vertical="center" wrapText="1"/>
    </xf>
    <xf numFmtId="0" fontId="0" fillId="5" borderId="1" xfId="0" applyFill="1" applyBorder="1" applyAlignment="1">
      <alignment vertical="center" wrapText="1"/>
    </xf>
    <xf numFmtId="0" fontId="13" fillId="0" borderId="1" xfId="0" applyFont="1" applyBorder="1" applyAlignment="1" applyProtection="1">
      <alignment horizontal="left" vertical="top" wrapText="1"/>
      <protection locked="0"/>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lignment horizontal="center" vertical="center" wrapText="1"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35" fillId="10" borderId="0" xfId="0" applyFont="1" applyFill="1" applyAlignment="1">
      <alignment horizontal="left" vertical="center" wrapText="1"/>
    </xf>
    <xf numFmtId="0" fontId="35" fillId="0" borderId="0" xfId="0" applyFont="1" applyAlignment="1">
      <alignment horizontal="left" vertical="center" wrapText="1"/>
    </xf>
    <xf numFmtId="0" fontId="5" fillId="0" borderId="1" xfId="0" applyFont="1" applyBorder="1" applyAlignment="1">
      <alignment horizontal="left" vertical="center" wrapText="1" shrinkToFit="1"/>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7" fillId="0" borderId="0" xfId="0" applyFont="1" applyAlignment="1">
      <alignment horizontal="left" vertical="center"/>
    </xf>
    <xf numFmtId="0" fontId="0" fillId="0" borderId="0" xfId="0"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cellXfs>
  <cellStyles count="2">
    <cellStyle name="桁区切り" xfId="1" builtinId="6"/>
    <cellStyle name="標準" xfId="0" builtinId="0"/>
  </cellStyles>
  <dxfs count="10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auto="1"/>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63</xdr:row>
      <xdr:rowOff>19051</xdr:rowOff>
    </xdr:from>
    <xdr:to>
      <xdr:col>18</xdr:col>
      <xdr:colOff>152401</xdr:colOff>
      <xdr:row>65</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34</xdr:row>
      <xdr:rowOff>218661</xdr:rowOff>
    </xdr:from>
    <xdr:to>
      <xdr:col>32</xdr:col>
      <xdr:colOff>59835</xdr:colOff>
      <xdr:row>37</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30</xdr:row>
      <xdr:rowOff>23558</xdr:rowOff>
    </xdr:from>
    <xdr:to>
      <xdr:col>32</xdr:col>
      <xdr:colOff>68302</xdr:colOff>
      <xdr:row>31</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31</xdr:row>
      <xdr:rowOff>26504</xdr:rowOff>
    </xdr:from>
    <xdr:to>
      <xdr:col>32</xdr:col>
      <xdr:colOff>68302</xdr:colOff>
      <xdr:row>32</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31</xdr:row>
      <xdr:rowOff>344557</xdr:rowOff>
    </xdr:from>
    <xdr:to>
      <xdr:col>32</xdr:col>
      <xdr:colOff>68302</xdr:colOff>
      <xdr:row>33</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33</xdr:row>
      <xdr:rowOff>26504</xdr:rowOff>
    </xdr:from>
    <xdr:to>
      <xdr:col>32</xdr:col>
      <xdr:colOff>68302</xdr:colOff>
      <xdr:row>34</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33</xdr:row>
      <xdr:rowOff>351183</xdr:rowOff>
    </xdr:from>
    <xdr:to>
      <xdr:col>32</xdr:col>
      <xdr:colOff>59836</xdr:colOff>
      <xdr:row>35</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33</xdr:row>
      <xdr:rowOff>203201</xdr:rowOff>
    </xdr:from>
    <xdr:to>
      <xdr:col>29</xdr:col>
      <xdr:colOff>174167</xdr:colOff>
      <xdr:row>34</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31</xdr:row>
      <xdr:rowOff>201077</xdr:rowOff>
    </xdr:from>
    <xdr:to>
      <xdr:col>27</xdr:col>
      <xdr:colOff>42328</xdr:colOff>
      <xdr:row>31</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73"/>
  <sheetViews>
    <sheetView showGridLines="0" tabSelected="1" view="pageBreakPreview" zoomScale="115" zoomScaleNormal="115" zoomScaleSheetLayoutView="115" workbookViewId="0">
      <selection activeCell="A11" sqref="A11:F11"/>
    </sheetView>
  </sheetViews>
  <sheetFormatPr defaultColWidth="0" defaultRowHeight="13.5" x14ac:dyDescent="0.15"/>
  <cols>
    <col min="1" max="26" width="2.5" customWidth="1"/>
    <col min="27" max="30" width="2.625" customWidth="1"/>
    <col min="31" max="35" width="2.5" customWidth="1"/>
    <col min="36" max="37" width="3.25" customWidth="1"/>
    <col min="38" max="38" width="1.125" customWidth="1"/>
    <col min="39" max="39" width="15.375" customWidth="1"/>
    <col min="40" max="40" width="11.375" customWidth="1"/>
    <col min="41" max="41" width="15.625" customWidth="1"/>
    <col min="42" max="42" width="15.25" customWidth="1"/>
    <col min="43" max="43" width="4.625" customWidth="1"/>
    <col min="44" max="44" width="15.25" customWidth="1"/>
    <col min="45" max="45" width="1.625" customWidth="1"/>
    <col min="46" max="52" width="2.25" hidden="1" customWidth="1"/>
    <col min="53" max="107" width="9.125" hidden="1" customWidth="1"/>
    <col min="108" max="111" width="3.5" hidden="1" customWidth="1"/>
    <col min="112" max="16383" width="9.125" hidden="1"/>
    <col min="16384" max="16384" width="12.125" hidden="1" customWidth="1"/>
  </cols>
  <sheetData>
    <row r="1" spans="1:111" ht="19.5" customHeight="1" x14ac:dyDescent="0.15">
      <c r="A1" s="19"/>
      <c r="AJ1" s="2" t="s">
        <v>180</v>
      </c>
    </row>
    <row r="2" spans="1:111" ht="19.5" customHeight="1" x14ac:dyDescent="0.15">
      <c r="A2" s="2"/>
    </row>
    <row r="3" spans="1:111" ht="19.5" customHeight="1" x14ac:dyDescent="0.15">
      <c r="Q3" s="3" t="s">
        <v>24</v>
      </c>
    </row>
    <row r="4" spans="1:111" ht="19.5" customHeight="1" x14ac:dyDescent="0.15">
      <c r="A4" s="3"/>
    </row>
    <row r="5" spans="1:111" ht="19.5" customHeight="1" x14ac:dyDescent="0.15">
      <c r="G5" s="4"/>
      <c r="S5" s="161" t="s">
        <v>21</v>
      </c>
      <c r="T5" s="161"/>
      <c r="U5" s="161"/>
      <c r="V5" s="162"/>
      <c r="W5" s="162"/>
      <c r="X5" s="162"/>
      <c r="Y5" s="162"/>
      <c r="Z5" s="162"/>
      <c r="AA5" s="162"/>
      <c r="AB5" s="162"/>
      <c r="AC5" s="162"/>
      <c r="AD5" s="162"/>
      <c r="AE5" s="162"/>
      <c r="AF5" s="162"/>
      <c r="AG5" s="162"/>
      <c r="AH5" s="162"/>
      <c r="AI5" s="162"/>
      <c r="AJ5" s="162"/>
    </row>
    <row r="6" spans="1:111" ht="19.5" customHeight="1" x14ac:dyDescent="0.15">
      <c r="A6" s="5"/>
    </row>
    <row r="7" spans="1:111" ht="16.350000000000001" customHeight="1" x14ac:dyDescent="0.15">
      <c r="A7" s="6" t="s">
        <v>0</v>
      </c>
      <c r="AM7" s="20"/>
      <c r="AN7" s="20"/>
      <c r="AO7" s="20"/>
      <c r="AP7" s="20"/>
      <c r="AQ7" s="20"/>
      <c r="AR7" s="20"/>
    </row>
    <row r="8" spans="1:111" ht="19.149999999999999" customHeight="1" x14ac:dyDescent="0.15">
      <c r="AJ8" s="7" t="s">
        <v>1</v>
      </c>
      <c r="AL8" s="157"/>
      <c r="AM8" s="157"/>
      <c r="AN8" s="157"/>
      <c r="AO8" s="157"/>
      <c r="AP8" s="157"/>
      <c r="AQ8" s="157"/>
      <c r="AR8" s="157"/>
      <c r="AS8" s="157"/>
    </row>
    <row r="9" spans="1:111" ht="16.350000000000001" customHeight="1" x14ac:dyDescent="0.15">
      <c r="A9" s="163" t="s">
        <v>23</v>
      </c>
      <c r="B9" s="164"/>
      <c r="C9" s="164"/>
      <c r="D9" s="164"/>
      <c r="E9" s="164"/>
      <c r="F9" s="165"/>
      <c r="G9" s="169" t="s">
        <v>22</v>
      </c>
      <c r="H9" s="170"/>
      <c r="I9" s="170"/>
      <c r="J9" s="170"/>
      <c r="K9" s="170"/>
      <c r="L9" s="170"/>
      <c r="M9" s="170"/>
      <c r="N9" s="170"/>
      <c r="O9" s="170"/>
      <c r="P9" s="170"/>
      <c r="Q9" s="170"/>
      <c r="R9" s="170"/>
      <c r="S9" s="170"/>
      <c r="T9" s="170"/>
      <c r="U9" s="170"/>
      <c r="V9" s="169" t="s">
        <v>8</v>
      </c>
      <c r="W9" s="170"/>
      <c r="X9" s="170"/>
      <c r="Y9" s="170"/>
      <c r="Z9" s="170"/>
      <c r="AA9" s="170"/>
      <c r="AB9" s="170"/>
      <c r="AC9" s="170"/>
      <c r="AD9" s="173"/>
      <c r="AE9" s="175" t="s">
        <v>25</v>
      </c>
      <c r="AF9" s="176"/>
      <c r="AG9" s="176"/>
      <c r="AH9" s="176"/>
      <c r="AI9" s="176"/>
      <c r="AJ9" s="177"/>
      <c r="AK9" s="18"/>
      <c r="AL9" s="157" t="s">
        <v>162</v>
      </c>
      <c r="AM9" s="157"/>
      <c r="AN9" s="157"/>
      <c r="AO9" s="157"/>
      <c r="AP9" s="157"/>
      <c r="AQ9" s="157"/>
      <c r="AR9" s="157"/>
      <c r="AS9" s="157"/>
    </row>
    <row r="10" spans="1:111" ht="16.350000000000001" customHeight="1" x14ac:dyDescent="0.15">
      <c r="A10" s="166"/>
      <c r="B10" s="167"/>
      <c r="C10" s="167"/>
      <c r="D10" s="167"/>
      <c r="E10" s="167"/>
      <c r="F10" s="168"/>
      <c r="G10" s="171"/>
      <c r="H10" s="172"/>
      <c r="I10" s="172"/>
      <c r="J10" s="172"/>
      <c r="K10" s="172"/>
      <c r="L10" s="172"/>
      <c r="M10" s="172"/>
      <c r="N10" s="172"/>
      <c r="O10" s="172"/>
      <c r="P10" s="172"/>
      <c r="Q10" s="172"/>
      <c r="R10" s="172"/>
      <c r="S10" s="172"/>
      <c r="T10" s="172"/>
      <c r="U10" s="172"/>
      <c r="V10" s="171"/>
      <c r="W10" s="172"/>
      <c r="X10" s="172"/>
      <c r="Y10" s="172"/>
      <c r="Z10" s="172"/>
      <c r="AA10" s="172"/>
      <c r="AB10" s="172"/>
      <c r="AC10" s="172"/>
      <c r="AD10" s="174"/>
      <c r="AE10" s="178" t="s">
        <v>174</v>
      </c>
      <c r="AF10" s="179"/>
      <c r="AG10" s="179"/>
      <c r="AH10" s="179"/>
      <c r="AI10" s="179"/>
      <c r="AJ10" s="180"/>
      <c r="AK10" s="18"/>
      <c r="AL10" s="157" t="s">
        <v>163</v>
      </c>
      <c r="AM10" s="157"/>
      <c r="AN10" s="157"/>
      <c r="AO10" s="157"/>
      <c r="AP10" s="157"/>
      <c r="AQ10" s="157"/>
      <c r="AR10" s="157"/>
      <c r="AS10" s="157"/>
    </row>
    <row r="11" spans="1:111" s="16" customFormat="1" ht="25.9" customHeight="1" x14ac:dyDescent="0.15">
      <c r="A11" s="148" t="s">
        <v>9</v>
      </c>
      <c r="B11" s="149"/>
      <c r="C11" s="149"/>
      <c r="D11" s="149"/>
      <c r="E11" s="149"/>
      <c r="F11" s="150"/>
      <c r="G11" s="148"/>
      <c r="H11" s="149"/>
      <c r="I11" s="149"/>
      <c r="J11" s="149"/>
      <c r="K11" s="149"/>
      <c r="L11" s="149"/>
      <c r="M11" s="149"/>
      <c r="N11" s="149"/>
      <c r="O11" s="149"/>
      <c r="P11" s="149"/>
      <c r="Q11" s="149"/>
      <c r="R11" s="149"/>
      <c r="S11" s="149"/>
      <c r="T11" s="149"/>
      <c r="U11" s="149"/>
      <c r="V11" s="151">
        <v>110000</v>
      </c>
      <c r="W11" s="152"/>
      <c r="X11" s="152"/>
      <c r="Y11" s="152"/>
      <c r="Z11" s="152"/>
      <c r="AA11" s="152"/>
      <c r="AB11" s="152"/>
      <c r="AC11" s="152"/>
      <c r="AD11" s="153"/>
      <c r="AE11" s="154">
        <v>110000</v>
      </c>
      <c r="AF11" s="155"/>
      <c r="AG11" s="155"/>
      <c r="AH11" s="155"/>
      <c r="AI11" s="155"/>
      <c r="AJ11" s="156"/>
      <c r="AK11" s="31"/>
      <c r="AL11" s="158" t="s">
        <v>164</v>
      </c>
      <c r="AM11" s="158"/>
      <c r="AN11" s="158"/>
      <c r="AO11" s="158"/>
      <c r="AP11" s="158"/>
      <c r="AQ11" s="158"/>
      <c r="AR11" s="158"/>
      <c r="AS11" s="158"/>
      <c r="DD11" s="16" t="str">
        <f t="shared" ref="DD11:DD30" si="0">IF($A11="",IF(OR($G11&lt;&gt;"",$V11&lt;&gt;"",$AE11&gt;0),"×","〇"),"〇")</f>
        <v>〇</v>
      </c>
      <c r="DE11" s="16" t="str">
        <f t="shared" ref="DE11:DE30" si="1">IF($G11="",IF(OR($A11&lt;&gt;"",$V11&lt;&gt;"",$AE11&gt;0),"×","〇"),"〇")</f>
        <v>×</v>
      </c>
      <c r="DF11" s="16" t="str">
        <f t="shared" ref="DF11:DF30" si="2">IF($V11="",IF(OR($A11&lt;&gt;"",$G11&lt;&gt;"",$AE11&gt;0),"×","〇"),"〇")</f>
        <v>〇</v>
      </c>
      <c r="DG11" s="16" t="str">
        <f t="shared" ref="DG11:DG30" si="3">IF($AE11&lt;1,IF(OR($A11&lt;&gt;"",$G11&lt;&gt;"",$V11&lt;&gt;""),"×","〇"),"〇")</f>
        <v>〇</v>
      </c>
    </row>
    <row r="12" spans="1:111" s="16" customFormat="1" ht="25.9" customHeight="1" x14ac:dyDescent="0.15">
      <c r="A12" s="148" t="s">
        <v>9</v>
      </c>
      <c r="B12" s="149"/>
      <c r="C12" s="149"/>
      <c r="D12" s="149"/>
      <c r="E12" s="149"/>
      <c r="F12" s="150"/>
      <c r="G12" s="148"/>
      <c r="H12" s="149"/>
      <c r="I12" s="149"/>
      <c r="J12" s="149"/>
      <c r="K12" s="149"/>
      <c r="L12" s="149"/>
      <c r="M12" s="149"/>
      <c r="N12" s="149"/>
      <c r="O12" s="149"/>
      <c r="P12" s="149"/>
      <c r="Q12" s="149"/>
      <c r="R12" s="149"/>
      <c r="S12" s="149"/>
      <c r="T12" s="149"/>
      <c r="U12" s="149"/>
      <c r="V12" s="151">
        <v>132000</v>
      </c>
      <c r="W12" s="152"/>
      <c r="X12" s="152"/>
      <c r="Y12" s="152"/>
      <c r="Z12" s="152"/>
      <c r="AA12" s="152"/>
      <c r="AB12" s="152"/>
      <c r="AC12" s="152"/>
      <c r="AD12" s="153"/>
      <c r="AE12" s="154">
        <v>132000</v>
      </c>
      <c r="AF12" s="155"/>
      <c r="AG12" s="155"/>
      <c r="AH12" s="155"/>
      <c r="AI12" s="155"/>
      <c r="AJ12" s="156"/>
      <c r="AK12" s="31"/>
      <c r="AL12" s="159" t="s">
        <v>165</v>
      </c>
      <c r="AM12" s="159"/>
      <c r="AN12" s="159"/>
      <c r="AO12" s="159"/>
      <c r="AP12" s="159"/>
      <c r="AQ12" s="159"/>
      <c r="AR12" s="159"/>
      <c r="AS12" s="159"/>
      <c r="DD12" s="16" t="str">
        <f t="shared" si="0"/>
        <v>〇</v>
      </c>
      <c r="DE12" s="16" t="str">
        <f t="shared" si="1"/>
        <v>×</v>
      </c>
      <c r="DF12" s="16" t="str">
        <f t="shared" si="2"/>
        <v>〇</v>
      </c>
      <c r="DG12" s="16" t="str">
        <f t="shared" si="3"/>
        <v>〇</v>
      </c>
    </row>
    <row r="13" spans="1:111" s="16" customFormat="1" ht="25.9" customHeight="1" x14ac:dyDescent="0.15">
      <c r="A13" s="148" t="s">
        <v>9</v>
      </c>
      <c r="B13" s="149"/>
      <c r="C13" s="149"/>
      <c r="D13" s="149"/>
      <c r="E13" s="149"/>
      <c r="F13" s="150"/>
      <c r="G13" s="148"/>
      <c r="H13" s="149"/>
      <c r="I13" s="149"/>
      <c r="J13" s="149"/>
      <c r="K13" s="149"/>
      <c r="L13" s="149"/>
      <c r="M13" s="149"/>
      <c r="N13" s="149"/>
      <c r="O13" s="149"/>
      <c r="P13" s="149"/>
      <c r="Q13" s="149"/>
      <c r="R13" s="149"/>
      <c r="S13" s="149"/>
      <c r="T13" s="149"/>
      <c r="U13" s="149"/>
      <c r="V13" s="151">
        <v>88000</v>
      </c>
      <c r="W13" s="152"/>
      <c r="X13" s="152"/>
      <c r="Y13" s="152"/>
      <c r="Z13" s="152"/>
      <c r="AA13" s="152"/>
      <c r="AB13" s="152"/>
      <c r="AC13" s="152"/>
      <c r="AD13" s="153"/>
      <c r="AE13" s="154">
        <v>88000</v>
      </c>
      <c r="AF13" s="155"/>
      <c r="AG13" s="155"/>
      <c r="AH13" s="155"/>
      <c r="AI13" s="155"/>
      <c r="AJ13" s="156"/>
      <c r="AK13" s="31"/>
      <c r="AL13" s="157"/>
      <c r="AM13" s="157"/>
      <c r="AN13" s="157"/>
      <c r="AO13" s="157"/>
      <c r="AP13" s="157"/>
      <c r="AQ13" s="157"/>
      <c r="AR13" s="157"/>
      <c r="AS13" s="157"/>
      <c r="DD13" s="16" t="str">
        <f t="shared" si="0"/>
        <v>〇</v>
      </c>
      <c r="DE13" s="16" t="str">
        <f t="shared" si="1"/>
        <v>×</v>
      </c>
      <c r="DF13" s="16" t="str">
        <f t="shared" si="2"/>
        <v>〇</v>
      </c>
      <c r="DG13" s="16" t="str">
        <f t="shared" si="3"/>
        <v>〇</v>
      </c>
    </row>
    <row r="14" spans="1:111" s="16" customFormat="1" ht="25.9" customHeight="1" x14ac:dyDescent="0.15">
      <c r="A14" s="148" t="s">
        <v>41</v>
      </c>
      <c r="B14" s="149"/>
      <c r="C14" s="149"/>
      <c r="D14" s="149"/>
      <c r="E14" s="149"/>
      <c r="F14" s="150"/>
      <c r="G14" s="148"/>
      <c r="H14" s="149"/>
      <c r="I14" s="149"/>
      <c r="J14" s="149"/>
      <c r="K14" s="149"/>
      <c r="L14" s="149"/>
      <c r="M14" s="149"/>
      <c r="N14" s="149"/>
      <c r="O14" s="149"/>
      <c r="P14" s="149"/>
      <c r="Q14" s="149"/>
      <c r="R14" s="149"/>
      <c r="S14" s="149"/>
      <c r="T14" s="149"/>
      <c r="U14" s="149"/>
      <c r="V14" s="151">
        <v>33000</v>
      </c>
      <c r="W14" s="152"/>
      <c r="X14" s="152"/>
      <c r="Y14" s="152"/>
      <c r="Z14" s="152"/>
      <c r="AA14" s="152"/>
      <c r="AB14" s="152"/>
      <c r="AC14" s="152"/>
      <c r="AD14" s="153"/>
      <c r="AE14" s="154">
        <v>33000</v>
      </c>
      <c r="AF14" s="155"/>
      <c r="AG14" s="155"/>
      <c r="AH14" s="155"/>
      <c r="AI14" s="155"/>
      <c r="AJ14" s="156"/>
      <c r="AK14" s="31"/>
      <c r="AL14" s="160"/>
      <c r="AM14" s="160"/>
      <c r="AN14" s="160"/>
      <c r="AO14" s="160"/>
      <c r="AP14" s="160"/>
      <c r="AQ14" s="160"/>
      <c r="AR14" s="160"/>
      <c r="AS14" s="160"/>
      <c r="DD14" s="16" t="str">
        <f t="shared" si="0"/>
        <v>〇</v>
      </c>
      <c r="DE14" s="16" t="str">
        <f t="shared" si="1"/>
        <v>×</v>
      </c>
      <c r="DF14" s="16" t="str">
        <f t="shared" si="2"/>
        <v>〇</v>
      </c>
      <c r="DG14" s="16" t="str">
        <f t="shared" si="3"/>
        <v>〇</v>
      </c>
    </row>
    <row r="15" spans="1:111" s="16" customFormat="1" ht="25.9" customHeight="1" x14ac:dyDescent="0.15">
      <c r="A15" s="148" t="s">
        <v>41</v>
      </c>
      <c r="B15" s="149"/>
      <c r="C15" s="149"/>
      <c r="D15" s="149"/>
      <c r="E15" s="149"/>
      <c r="F15" s="150"/>
      <c r="G15" s="148"/>
      <c r="H15" s="149"/>
      <c r="I15" s="149"/>
      <c r="J15" s="149"/>
      <c r="K15" s="149"/>
      <c r="L15" s="149"/>
      <c r="M15" s="149"/>
      <c r="N15" s="149"/>
      <c r="O15" s="149"/>
      <c r="P15" s="149"/>
      <c r="Q15" s="149"/>
      <c r="R15" s="149"/>
      <c r="S15" s="149"/>
      <c r="T15" s="149"/>
      <c r="U15" s="149"/>
      <c r="V15" s="151">
        <v>55000</v>
      </c>
      <c r="W15" s="152"/>
      <c r="X15" s="152"/>
      <c r="Y15" s="152"/>
      <c r="Z15" s="152"/>
      <c r="AA15" s="152"/>
      <c r="AB15" s="152"/>
      <c r="AC15" s="152"/>
      <c r="AD15" s="153"/>
      <c r="AE15" s="154">
        <v>55000</v>
      </c>
      <c r="AF15" s="155"/>
      <c r="AG15" s="155"/>
      <c r="AH15" s="155"/>
      <c r="AI15" s="155"/>
      <c r="AJ15" s="156"/>
      <c r="AK15" s="31"/>
      <c r="AL15" s="41"/>
      <c r="AM15" s="41"/>
      <c r="AN15" s="41"/>
      <c r="AO15" s="41"/>
      <c r="AP15" s="41"/>
      <c r="AQ15" s="41"/>
      <c r="AR15" s="41"/>
      <c r="AS15" s="41"/>
      <c r="DD15" s="16" t="str">
        <f t="shared" si="0"/>
        <v>〇</v>
      </c>
      <c r="DE15" s="16" t="str">
        <f t="shared" si="1"/>
        <v>×</v>
      </c>
      <c r="DF15" s="16" t="str">
        <f t="shared" si="2"/>
        <v>〇</v>
      </c>
      <c r="DG15" s="16" t="str">
        <f t="shared" si="3"/>
        <v>〇</v>
      </c>
    </row>
    <row r="16" spans="1:111" s="16" customFormat="1" ht="25.9" customHeight="1" x14ac:dyDescent="0.15">
      <c r="A16" s="148" t="s">
        <v>41</v>
      </c>
      <c r="B16" s="149"/>
      <c r="C16" s="149"/>
      <c r="D16" s="149"/>
      <c r="E16" s="149"/>
      <c r="F16" s="150"/>
      <c r="G16" s="148"/>
      <c r="H16" s="149"/>
      <c r="I16" s="149"/>
      <c r="J16" s="149"/>
      <c r="K16" s="149"/>
      <c r="L16" s="149"/>
      <c r="M16" s="149"/>
      <c r="N16" s="149"/>
      <c r="O16" s="149"/>
      <c r="P16" s="149"/>
      <c r="Q16" s="149"/>
      <c r="R16" s="149"/>
      <c r="S16" s="149"/>
      <c r="T16" s="149"/>
      <c r="U16" s="149"/>
      <c r="V16" s="151">
        <v>33000</v>
      </c>
      <c r="W16" s="152"/>
      <c r="X16" s="152"/>
      <c r="Y16" s="152"/>
      <c r="Z16" s="152"/>
      <c r="AA16" s="152"/>
      <c r="AB16" s="152"/>
      <c r="AC16" s="152"/>
      <c r="AD16" s="153"/>
      <c r="AE16" s="154">
        <v>33000</v>
      </c>
      <c r="AF16" s="155"/>
      <c r="AG16" s="155"/>
      <c r="AH16" s="155"/>
      <c r="AI16" s="155"/>
      <c r="AJ16" s="156"/>
      <c r="AK16" s="31"/>
      <c r="AL16" s="41"/>
      <c r="AM16" s="41"/>
      <c r="AN16" s="41"/>
      <c r="AO16" s="41"/>
      <c r="AP16" s="41"/>
      <c r="AQ16" s="41"/>
      <c r="AR16" s="41"/>
      <c r="AS16" s="41"/>
      <c r="DD16" s="16" t="str">
        <f t="shared" si="0"/>
        <v>〇</v>
      </c>
      <c r="DE16" s="16" t="str">
        <f t="shared" si="1"/>
        <v>×</v>
      </c>
      <c r="DF16" s="16" t="str">
        <f t="shared" si="2"/>
        <v>〇</v>
      </c>
      <c r="DG16" s="16" t="str">
        <f t="shared" si="3"/>
        <v>〇</v>
      </c>
    </row>
    <row r="17" spans="1:111" s="16" customFormat="1" ht="25.9" customHeight="1" x14ac:dyDescent="0.15">
      <c r="A17" s="148" t="s">
        <v>41</v>
      </c>
      <c r="B17" s="149"/>
      <c r="C17" s="149"/>
      <c r="D17" s="149"/>
      <c r="E17" s="149"/>
      <c r="F17" s="150"/>
      <c r="G17" s="148"/>
      <c r="H17" s="149"/>
      <c r="I17" s="149"/>
      <c r="J17" s="149"/>
      <c r="K17" s="149"/>
      <c r="L17" s="149"/>
      <c r="M17" s="149"/>
      <c r="N17" s="149"/>
      <c r="O17" s="149"/>
      <c r="P17" s="149"/>
      <c r="Q17" s="149"/>
      <c r="R17" s="149"/>
      <c r="S17" s="149"/>
      <c r="T17" s="149"/>
      <c r="U17" s="149"/>
      <c r="V17" s="151">
        <v>55000</v>
      </c>
      <c r="W17" s="152"/>
      <c r="X17" s="152"/>
      <c r="Y17" s="152"/>
      <c r="Z17" s="152"/>
      <c r="AA17" s="152"/>
      <c r="AB17" s="152"/>
      <c r="AC17" s="152"/>
      <c r="AD17" s="153"/>
      <c r="AE17" s="154">
        <v>55000</v>
      </c>
      <c r="AF17" s="155"/>
      <c r="AG17" s="155"/>
      <c r="AH17" s="155"/>
      <c r="AI17" s="155"/>
      <c r="AJ17" s="156"/>
      <c r="AK17" s="31"/>
      <c r="AL17" s="41"/>
      <c r="AM17" s="41"/>
      <c r="AN17" s="41"/>
      <c r="AO17" s="41"/>
      <c r="AP17" s="41"/>
      <c r="AQ17" s="41"/>
      <c r="AR17" s="41"/>
      <c r="AS17" s="41"/>
      <c r="DD17" s="16" t="str">
        <f t="shared" si="0"/>
        <v>〇</v>
      </c>
      <c r="DE17" s="16" t="str">
        <f t="shared" si="1"/>
        <v>×</v>
      </c>
      <c r="DF17" s="16" t="str">
        <f t="shared" si="2"/>
        <v>〇</v>
      </c>
      <c r="DG17" s="16" t="str">
        <f t="shared" si="3"/>
        <v>〇</v>
      </c>
    </row>
    <row r="18" spans="1:111" s="16" customFormat="1" ht="25.9" customHeight="1" x14ac:dyDescent="0.15">
      <c r="A18" s="148" t="s">
        <v>41</v>
      </c>
      <c r="B18" s="149"/>
      <c r="C18" s="149"/>
      <c r="D18" s="149"/>
      <c r="E18" s="149"/>
      <c r="F18" s="150"/>
      <c r="G18" s="148"/>
      <c r="H18" s="149"/>
      <c r="I18" s="149"/>
      <c r="J18" s="149"/>
      <c r="K18" s="149"/>
      <c r="L18" s="149"/>
      <c r="M18" s="149"/>
      <c r="N18" s="149"/>
      <c r="O18" s="149"/>
      <c r="P18" s="149"/>
      <c r="Q18" s="149"/>
      <c r="R18" s="149"/>
      <c r="S18" s="149"/>
      <c r="T18" s="149"/>
      <c r="U18" s="149"/>
      <c r="V18" s="151">
        <v>33000</v>
      </c>
      <c r="W18" s="152"/>
      <c r="X18" s="152"/>
      <c r="Y18" s="152"/>
      <c r="Z18" s="152"/>
      <c r="AA18" s="152"/>
      <c r="AB18" s="152"/>
      <c r="AC18" s="152"/>
      <c r="AD18" s="153"/>
      <c r="AE18" s="154">
        <v>33000</v>
      </c>
      <c r="AF18" s="155"/>
      <c r="AG18" s="155"/>
      <c r="AH18" s="155"/>
      <c r="AI18" s="155"/>
      <c r="AJ18" s="156"/>
      <c r="AK18" s="31"/>
      <c r="AL18" s="41"/>
      <c r="AM18" s="41"/>
      <c r="AN18" s="41"/>
      <c r="AO18" s="41"/>
      <c r="AP18" s="41"/>
      <c r="AQ18" s="41"/>
      <c r="AR18" s="41"/>
      <c r="AS18" s="41"/>
      <c r="DD18" s="16" t="str">
        <f t="shared" si="0"/>
        <v>〇</v>
      </c>
      <c r="DE18" s="16" t="str">
        <f t="shared" si="1"/>
        <v>×</v>
      </c>
      <c r="DF18" s="16" t="str">
        <f t="shared" si="2"/>
        <v>〇</v>
      </c>
      <c r="DG18" s="16" t="str">
        <f t="shared" si="3"/>
        <v>〇</v>
      </c>
    </row>
    <row r="19" spans="1:111" s="16" customFormat="1" ht="25.9" customHeight="1" x14ac:dyDescent="0.15">
      <c r="A19" s="148" t="s">
        <v>41</v>
      </c>
      <c r="B19" s="149"/>
      <c r="C19" s="149"/>
      <c r="D19" s="149"/>
      <c r="E19" s="149"/>
      <c r="F19" s="150"/>
      <c r="G19" s="148"/>
      <c r="H19" s="149"/>
      <c r="I19" s="149"/>
      <c r="J19" s="149"/>
      <c r="K19" s="149"/>
      <c r="L19" s="149"/>
      <c r="M19" s="149"/>
      <c r="N19" s="149"/>
      <c r="O19" s="149"/>
      <c r="P19" s="149"/>
      <c r="Q19" s="149"/>
      <c r="R19" s="149"/>
      <c r="S19" s="149"/>
      <c r="T19" s="149"/>
      <c r="U19" s="149"/>
      <c r="V19" s="151">
        <v>33000</v>
      </c>
      <c r="W19" s="152"/>
      <c r="X19" s="152"/>
      <c r="Y19" s="152"/>
      <c r="Z19" s="152"/>
      <c r="AA19" s="152"/>
      <c r="AB19" s="152"/>
      <c r="AC19" s="152"/>
      <c r="AD19" s="153"/>
      <c r="AE19" s="154">
        <v>33000</v>
      </c>
      <c r="AF19" s="155"/>
      <c r="AG19" s="155"/>
      <c r="AH19" s="155"/>
      <c r="AI19" s="155"/>
      <c r="AJ19" s="156"/>
      <c r="AK19" s="31"/>
      <c r="AL19" s="41"/>
      <c r="AM19" s="41"/>
      <c r="AN19" s="41"/>
      <c r="AO19" s="41"/>
      <c r="AP19" s="41"/>
      <c r="AQ19" s="41"/>
      <c r="AR19" s="41"/>
      <c r="AS19" s="41"/>
      <c r="DD19" s="16" t="str">
        <f t="shared" si="0"/>
        <v>〇</v>
      </c>
      <c r="DE19" s="16" t="str">
        <f t="shared" si="1"/>
        <v>×</v>
      </c>
      <c r="DF19" s="16" t="str">
        <f t="shared" si="2"/>
        <v>〇</v>
      </c>
      <c r="DG19" s="16" t="str">
        <f t="shared" si="3"/>
        <v>〇</v>
      </c>
    </row>
    <row r="20" spans="1:111" s="16" customFormat="1" ht="25.9" customHeight="1" x14ac:dyDescent="0.15">
      <c r="A20" s="148" t="s">
        <v>41</v>
      </c>
      <c r="B20" s="149"/>
      <c r="C20" s="149"/>
      <c r="D20" s="149"/>
      <c r="E20" s="149"/>
      <c r="F20" s="150"/>
      <c r="G20" s="148"/>
      <c r="H20" s="149"/>
      <c r="I20" s="149"/>
      <c r="J20" s="149"/>
      <c r="K20" s="149"/>
      <c r="L20" s="149"/>
      <c r="M20" s="149"/>
      <c r="N20" s="149"/>
      <c r="O20" s="149"/>
      <c r="P20" s="149"/>
      <c r="Q20" s="149"/>
      <c r="R20" s="149"/>
      <c r="S20" s="149"/>
      <c r="T20" s="149"/>
      <c r="U20" s="149"/>
      <c r="V20" s="151">
        <v>55000</v>
      </c>
      <c r="W20" s="152"/>
      <c r="X20" s="152"/>
      <c r="Y20" s="152"/>
      <c r="Z20" s="152"/>
      <c r="AA20" s="152"/>
      <c r="AB20" s="152"/>
      <c r="AC20" s="152"/>
      <c r="AD20" s="153"/>
      <c r="AE20" s="154">
        <v>55000</v>
      </c>
      <c r="AF20" s="155"/>
      <c r="AG20" s="155"/>
      <c r="AH20" s="155"/>
      <c r="AI20" s="155"/>
      <c r="AJ20" s="156"/>
      <c r="AK20" s="31"/>
      <c r="AL20" s="41"/>
      <c r="AM20" s="41"/>
      <c r="AN20" s="41"/>
      <c r="AO20" s="41"/>
      <c r="AP20" s="41"/>
      <c r="AQ20" s="41"/>
      <c r="AR20" s="41"/>
      <c r="AS20" s="41"/>
      <c r="DD20" s="16" t="str">
        <f t="shared" si="0"/>
        <v>〇</v>
      </c>
      <c r="DE20" s="16" t="str">
        <f t="shared" si="1"/>
        <v>×</v>
      </c>
      <c r="DF20" s="16" t="str">
        <f t="shared" si="2"/>
        <v>〇</v>
      </c>
      <c r="DG20" s="16" t="str">
        <f t="shared" si="3"/>
        <v>〇</v>
      </c>
    </row>
    <row r="21" spans="1:111" s="16" customFormat="1" ht="25.9" customHeight="1" x14ac:dyDescent="0.15">
      <c r="A21" s="148"/>
      <c r="B21" s="149"/>
      <c r="C21" s="149"/>
      <c r="D21" s="149"/>
      <c r="E21" s="149"/>
      <c r="F21" s="150"/>
      <c r="G21" s="148"/>
      <c r="H21" s="149"/>
      <c r="I21" s="149"/>
      <c r="J21" s="149"/>
      <c r="K21" s="149"/>
      <c r="L21" s="149"/>
      <c r="M21" s="149"/>
      <c r="N21" s="149"/>
      <c r="O21" s="149"/>
      <c r="P21" s="149"/>
      <c r="Q21" s="149"/>
      <c r="R21" s="149"/>
      <c r="S21" s="149"/>
      <c r="T21" s="149"/>
      <c r="U21" s="149"/>
      <c r="V21" s="151"/>
      <c r="W21" s="152"/>
      <c r="X21" s="152"/>
      <c r="Y21" s="152"/>
      <c r="Z21" s="152"/>
      <c r="AA21" s="152"/>
      <c r="AB21" s="152"/>
      <c r="AC21" s="152"/>
      <c r="AD21" s="153"/>
      <c r="AE21" s="154"/>
      <c r="AF21" s="155"/>
      <c r="AG21" s="155"/>
      <c r="AH21" s="155"/>
      <c r="AI21" s="155"/>
      <c r="AJ21" s="156"/>
      <c r="AK21" s="31"/>
      <c r="AL21" s="41"/>
      <c r="AM21" s="41"/>
      <c r="AN21" s="41"/>
      <c r="AO21" s="41"/>
      <c r="AP21" s="41"/>
      <c r="AQ21" s="41"/>
      <c r="AR21" s="41"/>
      <c r="AS21" s="41"/>
      <c r="DD21" s="16" t="str">
        <f t="shared" si="0"/>
        <v>〇</v>
      </c>
      <c r="DE21" s="16" t="str">
        <f t="shared" si="1"/>
        <v>〇</v>
      </c>
      <c r="DF21" s="16" t="str">
        <f t="shared" si="2"/>
        <v>〇</v>
      </c>
      <c r="DG21" s="16" t="str">
        <f t="shared" si="3"/>
        <v>〇</v>
      </c>
    </row>
    <row r="22" spans="1:111" s="16" customFormat="1" ht="25.9" customHeight="1" x14ac:dyDescent="0.15">
      <c r="A22" s="148"/>
      <c r="B22" s="149"/>
      <c r="C22" s="149"/>
      <c r="D22" s="149"/>
      <c r="E22" s="149"/>
      <c r="F22" s="150"/>
      <c r="G22" s="148"/>
      <c r="H22" s="149"/>
      <c r="I22" s="149"/>
      <c r="J22" s="149"/>
      <c r="K22" s="149"/>
      <c r="L22" s="149"/>
      <c r="M22" s="149"/>
      <c r="N22" s="149"/>
      <c r="O22" s="149"/>
      <c r="P22" s="149"/>
      <c r="Q22" s="149"/>
      <c r="R22" s="149"/>
      <c r="S22" s="149"/>
      <c r="T22" s="149"/>
      <c r="U22" s="149"/>
      <c r="V22" s="151"/>
      <c r="W22" s="152"/>
      <c r="X22" s="152"/>
      <c r="Y22" s="152"/>
      <c r="Z22" s="152"/>
      <c r="AA22" s="152"/>
      <c r="AB22" s="152"/>
      <c r="AC22" s="152"/>
      <c r="AD22" s="153"/>
      <c r="AE22" s="154"/>
      <c r="AF22" s="155"/>
      <c r="AG22" s="155"/>
      <c r="AH22" s="155"/>
      <c r="AI22" s="155"/>
      <c r="AJ22" s="156"/>
      <c r="AK22" s="31"/>
      <c r="AL22" s="41"/>
      <c r="AM22" s="41"/>
      <c r="AN22" s="41"/>
      <c r="AO22" s="41"/>
      <c r="AP22" s="41"/>
      <c r="AQ22" s="41"/>
      <c r="AR22" s="41"/>
      <c r="AS22" s="41"/>
      <c r="DD22" s="16" t="str">
        <f t="shared" si="0"/>
        <v>〇</v>
      </c>
      <c r="DE22" s="16" t="str">
        <f t="shared" si="1"/>
        <v>〇</v>
      </c>
      <c r="DF22" s="16" t="str">
        <f t="shared" si="2"/>
        <v>〇</v>
      </c>
      <c r="DG22" s="16" t="str">
        <f t="shared" si="3"/>
        <v>〇</v>
      </c>
    </row>
    <row r="23" spans="1:111" s="16" customFormat="1" ht="25.9" customHeight="1" x14ac:dyDescent="0.15">
      <c r="A23" s="148"/>
      <c r="B23" s="149"/>
      <c r="C23" s="149"/>
      <c r="D23" s="149"/>
      <c r="E23" s="149"/>
      <c r="F23" s="150"/>
      <c r="G23" s="148"/>
      <c r="H23" s="149"/>
      <c r="I23" s="149"/>
      <c r="J23" s="149"/>
      <c r="K23" s="149"/>
      <c r="L23" s="149"/>
      <c r="M23" s="149"/>
      <c r="N23" s="149"/>
      <c r="O23" s="149"/>
      <c r="P23" s="149"/>
      <c r="Q23" s="149"/>
      <c r="R23" s="149"/>
      <c r="S23" s="149"/>
      <c r="T23" s="149"/>
      <c r="U23" s="149"/>
      <c r="V23" s="151"/>
      <c r="W23" s="152"/>
      <c r="X23" s="152"/>
      <c r="Y23" s="152"/>
      <c r="Z23" s="152"/>
      <c r="AA23" s="152"/>
      <c r="AB23" s="152"/>
      <c r="AC23" s="152"/>
      <c r="AD23" s="153"/>
      <c r="AE23" s="154"/>
      <c r="AF23" s="155"/>
      <c r="AG23" s="155"/>
      <c r="AH23" s="155"/>
      <c r="AI23" s="155"/>
      <c r="AJ23" s="156"/>
      <c r="AK23" s="31"/>
      <c r="AL23" s="41"/>
      <c r="AM23" s="41"/>
      <c r="AN23" s="41"/>
      <c r="AO23" s="41"/>
      <c r="AP23" s="41"/>
      <c r="AQ23" s="41"/>
      <c r="AR23" s="41"/>
      <c r="AS23" s="41"/>
      <c r="DD23" s="16" t="str">
        <f t="shared" si="0"/>
        <v>〇</v>
      </c>
      <c r="DE23" s="16" t="str">
        <f t="shared" si="1"/>
        <v>〇</v>
      </c>
      <c r="DF23" s="16" t="str">
        <f t="shared" si="2"/>
        <v>〇</v>
      </c>
      <c r="DG23" s="16" t="str">
        <f t="shared" si="3"/>
        <v>〇</v>
      </c>
    </row>
    <row r="24" spans="1:111" s="16" customFormat="1" ht="25.9" customHeight="1" x14ac:dyDescent="0.15">
      <c r="A24" s="148"/>
      <c r="B24" s="149"/>
      <c r="C24" s="149"/>
      <c r="D24" s="149"/>
      <c r="E24" s="149"/>
      <c r="F24" s="150"/>
      <c r="G24" s="148"/>
      <c r="H24" s="149"/>
      <c r="I24" s="149"/>
      <c r="J24" s="149"/>
      <c r="K24" s="149"/>
      <c r="L24" s="149"/>
      <c r="M24" s="149"/>
      <c r="N24" s="149"/>
      <c r="O24" s="149"/>
      <c r="P24" s="149"/>
      <c r="Q24" s="149"/>
      <c r="R24" s="149"/>
      <c r="S24" s="149"/>
      <c r="T24" s="149"/>
      <c r="U24" s="149"/>
      <c r="V24" s="151"/>
      <c r="W24" s="152"/>
      <c r="X24" s="152"/>
      <c r="Y24" s="152"/>
      <c r="Z24" s="152"/>
      <c r="AA24" s="152"/>
      <c r="AB24" s="152"/>
      <c r="AC24" s="152"/>
      <c r="AD24" s="153"/>
      <c r="AE24" s="154"/>
      <c r="AF24" s="155"/>
      <c r="AG24" s="155"/>
      <c r="AH24" s="155"/>
      <c r="AI24" s="155"/>
      <c r="AJ24" s="156"/>
      <c r="AK24" s="31"/>
      <c r="AL24" s="41"/>
      <c r="AM24" s="41"/>
      <c r="AN24" s="41"/>
      <c r="AO24" s="41"/>
      <c r="AP24" s="41"/>
      <c r="AQ24" s="41"/>
      <c r="AR24" s="41"/>
      <c r="AS24" s="41"/>
      <c r="DD24" s="16" t="str">
        <f t="shared" si="0"/>
        <v>〇</v>
      </c>
      <c r="DE24" s="16" t="str">
        <f t="shared" si="1"/>
        <v>〇</v>
      </c>
      <c r="DF24" s="16" t="str">
        <f t="shared" si="2"/>
        <v>〇</v>
      </c>
      <c r="DG24" s="16" t="str">
        <f t="shared" si="3"/>
        <v>〇</v>
      </c>
    </row>
    <row r="25" spans="1:111" s="16" customFormat="1" ht="25.9" customHeight="1" x14ac:dyDescent="0.15">
      <c r="A25" s="148"/>
      <c r="B25" s="149"/>
      <c r="C25" s="149"/>
      <c r="D25" s="149"/>
      <c r="E25" s="149"/>
      <c r="F25" s="150"/>
      <c r="G25" s="148"/>
      <c r="H25" s="149"/>
      <c r="I25" s="149"/>
      <c r="J25" s="149"/>
      <c r="K25" s="149"/>
      <c r="L25" s="149"/>
      <c r="M25" s="149"/>
      <c r="N25" s="149"/>
      <c r="O25" s="149"/>
      <c r="P25" s="149"/>
      <c r="Q25" s="149"/>
      <c r="R25" s="149"/>
      <c r="S25" s="149"/>
      <c r="T25" s="149"/>
      <c r="U25" s="149"/>
      <c r="V25" s="151"/>
      <c r="W25" s="152"/>
      <c r="X25" s="152"/>
      <c r="Y25" s="152"/>
      <c r="Z25" s="152"/>
      <c r="AA25" s="152"/>
      <c r="AB25" s="152"/>
      <c r="AC25" s="152"/>
      <c r="AD25" s="153"/>
      <c r="AE25" s="154"/>
      <c r="AF25" s="155"/>
      <c r="AG25" s="155"/>
      <c r="AH25" s="155"/>
      <c r="AI25" s="155"/>
      <c r="AJ25" s="156"/>
      <c r="AK25" s="31"/>
      <c r="AL25" s="41"/>
      <c r="AM25" s="41"/>
      <c r="AN25" s="41"/>
      <c r="AO25" s="41"/>
      <c r="AP25" s="41"/>
      <c r="AQ25" s="41"/>
      <c r="AR25" s="41"/>
      <c r="AS25" s="41"/>
      <c r="DD25" s="16" t="str">
        <f t="shared" si="0"/>
        <v>〇</v>
      </c>
      <c r="DE25" s="16" t="str">
        <f t="shared" si="1"/>
        <v>〇</v>
      </c>
      <c r="DF25" s="16" t="str">
        <f t="shared" si="2"/>
        <v>〇</v>
      </c>
      <c r="DG25" s="16" t="str">
        <f t="shared" si="3"/>
        <v>〇</v>
      </c>
    </row>
    <row r="26" spans="1:111" s="16" customFormat="1" ht="25.9" customHeight="1" x14ac:dyDescent="0.15">
      <c r="A26" s="148"/>
      <c r="B26" s="149"/>
      <c r="C26" s="149"/>
      <c r="D26" s="149"/>
      <c r="E26" s="149"/>
      <c r="F26" s="150"/>
      <c r="G26" s="148"/>
      <c r="H26" s="149"/>
      <c r="I26" s="149"/>
      <c r="J26" s="149"/>
      <c r="K26" s="149"/>
      <c r="L26" s="149"/>
      <c r="M26" s="149"/>
      <c r="N26" s="149"/>
      <c r="O26" s="149"/>
      <c r="P26" s="149"/>
      <c r="Q26" s="149"/>
      <c r="R26" s="149"/>
      <c r="S26" s="149"/>
      <c r="T26" s="149"/>
      <c r="U26" s="149"/>
      <c r="V26" s="151"/>
      <c r="W26" s="152"/>
      <c r="X26" s="152"/>
      <c r="Y26" s="152"/>
      <c r="Z26" s="152"/>
      <c r="AA26" s="152"/>
      <c r="AB26" s="152"/>
      <c r="AC26" s="152"/>
      <c r="AD26" s="153"/>
      <c r="AE26" s="154"/>
      <c r="AF26" s="155"/>
      <c r="AG26" s="155"/>
      <c r="AH26" s="155"/>
      <c r="AI26" s="155"/>
      <c r="AJ26" s="156"/>
      <c r="AK26" s="31"/>
      <c r="AL26" s="41"/>
      <c r="AM26" s="41"/>
      <c r="AN26" s="41"/>
      <c r="AO26" s="41"/>
      <c r="AP26" s="41"/>
      <c r="AQ26" s="41"/>
      <c r="AR26" s="41"/>
      <c r="AS26" s="41"/>
      <c r="DD26" s="16" t="str">
        <f t="shared" si="0"/>
        <v>〇</v>
      </c>
      <c r="DE26" s="16" t="str">
        <f t="shared" si="1"/>
        <v>〇</v>
      </c>
      <c r="DF26" s="16" t="str">
        <f t="shared" si="2"/>
        <v>〇</v>
      </c>
      <c r="DG26" s="16" t="str">
        <f t="shared" si="3"/>
        <v>〇</v>
      </c>
    </row>
    <row r="27" spans="1:111" s="16" customFormat="1" ht="25.9" customHeight="1" x14ac:dyDescent="0.15">
      <c r="A27" s="148"/>
      <c r="B27" s="149"/>
      <c r="C27" s="149"/>
      <c r="D27" s="149"/>
      <c r="E27" s="149"/>
      <c r="F27" s="150"/>
      <c r="G27" s="148"/>
      <c r="H27" s="149"/>
      <c r="I27" s="149"/>
      <c r="J27" s="149"/>
      <c r="K27" s="149"/>
      <c r="L27" s="149"/>
      <c r="M27" s="149"/>
      <c r="N27" s="149"/>
      <c r="O27" s="149"/>
      <c r="P27" s="149"/>
      <c r="Q27" s="149"/>
      <c r="R27" s="149"/>
      <c r="S27" s="149"/>
      <c r="T27" s="149"/>
      <c r="U27" s="149"/>
      <c r="V27" s="151"/>
      <c r="W27" s="152"/>
      <c r="X27" s="152"/>
      <c r="Y27" s="152"/>
      <c r="Z27" s="152"/>
      <c r="AA27" s="152"/>
      <c r="AB27" s="152"/>
      <c r="AC27" s="152"/>
      <c r="AD27" s="153"/>
      <c r="AE27" s="154"/>
      <c r="AF27" s="155"/>
      <c r="AG27" s="155"/>
      <c r="AH27" s="155"/>
      <c r="AI27" s="155"/>
      <c r="AJ27" s="156"/>
      <c r="AK27" s="31"/>
      <c r="AL27" s="41"/>
      <c r="AM27" s="41"/>
      <c r="AN27" s="41"/>
      <c r="AO27" s="41"/>
      <c r="AP27" s="41"/>
      <c r="AQ27" s="41"/>
      <c r="AR27" s="41"/>
      <c r="AS27" s="41"/>
      <c r="DD27" s="16" t="str">
        <f t="shared" si="0"/>
        <v>〇</v>
      </c>
      <c r="DE27" s="16" t="str">
        <f t="shared" si="1"/>
        <v>〇</v>
      </c>
      <c r="DF27" s="16" t="str">
        <f t="shared" si="2"/>
        <v>〇</v>
      </c>
      <c r="DG27" s="16" t="str">
        <f t="shared" si="3"/>
        <v>〇</v>
      </c>
    </row>
    <row r="28" spans="1:111" s="16" customFormat="1" ht="25.9" customHeight="1" x14ac:dyDescent="0.15">
      <c r="A28" s="148"/>
      <c r="B28" s="149"/>
      <c r="C28" s="149"/>
      <c r="D28" s="149"/>
      <c r="E28" s="149"/>
      <c r="F28" s="150"/>
      <c r="G28" s="148"/>
      <c r="H28" s="149"/>
      <c r="I28" s="149"/>
      <c r="J28" s="149"/>
      <c r="K28" s="149"/>
      <c r="L28" s="149"/>
      <c r="M28" s="149"/>
      <c r="N28" s="149"/>
      <c r="O28" s="149"/>
      <c r="P28" s="149"/>
      <c r="Q28" s="149"/>
      <c r="R28" s="149"/>
      <c r="S28" s="149"/>
      <c r="T28" s="149"/>
      <c r="U28" s="149"/>
      <c r="V28" s="151"/>
      <c r="W28" s="152"/>
      <c r="X28" s="152"/>
      <c r="Y28" s="152"/>
      <c r="Z28" s="152"/>
      <c r="AA28" s="152"/>
      <c r="AB28" s="152"/>
      <c r="AC28" s="152"/>
      <c r="AD28" s="153"/>
      <c r="AE28" s="154"/>
      <c r="AF28" s="155"/>
      <c r="AG28" s="155"/>
      <c r="AH28" s="155"/>
      <c r="AI28" s="155"/>
      <c r="AJ28" s="156"/>
      <c r="AK28" s="31"/>
      <c r="AL28" s="41"/>
      <c r="AM28" s="41"/>
      <c r="AN28" s="41"/>
      <c r="AO28" s="41"/>
      <c r="AP28" s="41"/>
      <c r="AQ28" s="41"/>
      <c r="AR28" s="41"/>
      <c r="AS28" s="41"/>
      <c r="DD28" s="16" t="str">
        <f t="shared" si="0"/>
        <v>〇</v>
      </c>
      <c r="DE28" s="16" t="str">
        <f t="shared" si="1"/>
        <v>〇</v>
      </c>
      <c r="DF28" s="16" t="str">
        <f t="shared" si="2"/>
        <v>〇</v>
      </c>
      <c r="DG28" s="16" t="str">
        <f t="shared" si="3"/>
        <v>〇</v>
      </c>
    </row>
    <row r="29" spans="1:111" s="16" customFormat="1" ht="25.9" customHeight="1" x14ac:dyDescent="0.15">
      <c r="A29" s="148"/>
      <c r="B29" s="149"/>
      <c r="C29" s="149"/>
      <c r="D29" s="149"/>
      <c r="E29" s="149"/>
      <c r="F29" s="150"/>
      <c r="G29" s="148"/>
      <c r="H29" s="149"/>
      <c r="I29" s="149"/>
      <c r="J29" s="149"/>
      <c r="K29" s="149"/>
      <c r="L29" s="149"/>
      <c r="M29" s="149"/>
      <c r="N29" s="149"/>
      <c r="O29" s="149"/>
      <c r="P29" s="149"/>
      <c r="Q29" s="149"/>
      <c r="R29" s="149"/>
      <c r="S29" s="149"/>
      <c r="T29" s="149"/>
      <c r="U29" s="149"/>
      <c r="V29" s="151"/>
      <c r="W29" s="152"/>
      <c r="X29" s="152"/>
      <c r="Y29" s="152"/>
      <c r="Z29" s="152"/>
      <c r="AA29" s="152"/>
      <c r="AB29" s="152"/>
      <c r="AC29" s="152"/>
      <c r="AD29" s="153"/>
      <c r="AE29" s="154"/>
      <c r="AF29" s="155"/>
      <c r="AG29" s="155"/>
      <c r="AH29" s="155"/>
      <c r="AI29" s="155"/>
      <c r="AJ29" s="156"/>
      <c r="AK29" s="31"/>
      <c r="AL29" s="41"/>
      <c r="AM29" s="41"/>
      <c r="AN29" s="41"/>
      <c r="AO29" s="41"/>
      <c r="AP29" s="41"/>
      <c r="AQ29" s="41"/>
      <c r="AR29" s="41"/>
      <c r="AS29" s="41"/>
      <c r="DD29" s="16" t="str">
        <f t="shared" si="0"/>
        <v>〇</v>
      </c>
      <c r="DE29" s="16" t="str">
        <f t="shared" si="1"/>
        <v>〇</v>
      </c>
      <c r="DF29" s="16" t="str">
        <f t="shared" si="2"/>
        <v>〇</v>
      </c>
      <c r="DG29" s="16" t="str">
        <f t="shared" si="3"/>
        <v>〇</v>
      </c>
    </row>
    <row r="30" spans="1:111" s="16" customFormat="1" ht="25.9" customHeight="1" x14ac:dyDescent="0.15">
      <c r="A30" s="148"/>
      <c r="B30" s="149"/>
      <c r="C30" s="149"/>
      <c r="D30" s="149"/>
      <c r="E30" s="149"/>
      <c r="F30" s="150"/>
      <c r="G30" s="148"/>
      <c r="H30" s="149"/>
      <c r="I30" s="149"/>
      <c r="J30" s="149"/>
      <c r="K30" s="149"/>
      <c r="L30" s="149"/>
      <c r="M30" s="149"/>
      <c r="N30" s="149"/>
      <c r="O30" s="149"/>
      <c r="P30" s="149"/>
      <c r="Q30" s="149"/>
      <c r="R30" s="149"/>
      <c r="S30" s="149"/>
      <c r="T30" s="149"/>
      <c r="U30" s="149"/>
      <c r="V30" s="151"/>
      <c r="W30" s="152"/>
      <c r="X30" s="152"/>
      <c r="Y30" s="152"/>
      <c r="Z30" s="152"/>
      <c r="AA30" s="152"/>
      <c r="AB30" s="152"/>
      <c r="AC30" s="152"/>
      <c r="AD30" s="153"/>
      <c r="AE30" s="154"/>
      <c r="AF30" s="155"/>
      <c r="AG30" s="155"/>
      <c r="AH30" s="155"/>
      <c r="AI30" s="155"/>
      <c r="AJ30" s="156"/>
      <c r="AK30" s="31"/>
      <c r="AL30" s="41"/>
      <c r="AM30" s="41"/>
      <c r="AN30" s="41"/>
      <c r="AO30" s="41"/>
      <c r="AP30" s="41"/>
      <c r="AQ30" s="41"/>
      <c r="AR30" s="41"/>
      <c r="AS30" s="41"/>
      <c r="DD30" s="16" t="str">
        <f t="shared" si="0"/>
        <v>〇</v>
      </c>
      <c r="DE30" s="16" t="str">
        <f t="shared" si="1"/>
        <v>〇</v>
      </c>
      <c r="DF30" s="16" t="str">
        <f t="shared" si="2"/>
        <v>〇</v>
      </c>
      <c r="DG30" s="16" t="str">
        <f t="shared" si="3"/>
        <v>〇</v>
      </c>
    </row>
    <row r="31" spans="1:111" s="16" customFormat="1" ht="19.899999999999999" customHeight="1" x14ac:dyDescent="0.15">
      <c r="A31" s="206" t="s">
        <v>152</v>
      </c>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8"/>
      <c r="AE31" s="200">
        <f>ExpenseCategoryList!K$2</f>
        <v>627000</v>
      </c>
      <c r="AF31" s="201"/>
      <c r="AG31" s="201"/>
      <c r="AH31" s="201"/>
      <c r="AI31" s="201"/>
      <c r="AJ31" s="202"/>
      <c r="AK31" s="18"/>
      <c r="AL31" s="36"/>
      <c r="AM31" s="37" t="s">
        <v>69</v>
      </c>
      <c r="AN31" s="100" t="s">
        <v>137</v>
      </c>
      <c r="AO31" s="100" t="s">
        <v>105</v>
      </c>
      <c r="AP31" s="41" t="s">
        <v>119</v>
      </c>
      <c r="AQ31" s="41"/>
      <c r="AR31" s="42"/>
      <c r="AS31" s="41"/>
    </row>
    <row r="32" spans="1:111" s="16" customFormat="1" ht="28.9" customHeight="1" x14ac:dyDescent="0.15">
      <c r="A32" s="211" t="s">
        <v>153</v>
      </c>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3"/>
      <c r="AE32" s="197"/>
      <c r="AF32" s="198"/>
      <c r="AG32" s="198"/>
      <c r="AH32" s="198"/>
      <c r="AI32" s="198"/>
      <c r="AJ32" s="199"/>
      <c r="AK32" s="18"/>
      <c r="AL32" s="36"/>
      <c r="AM32" s="39" t="str">
        <f>ExpenseCategoryList!E29</f>
        <v>×</v>
      </c>
      <c r="AN32" s="118">
        <f>IF(AP32=AR32,ExpenseCategoryList!I14,"")</f>
        <v>0</v>
      </c>
      <c r="AO32" s="40" t="str">
        <f>ExpenseCategoryList!J38</f>
        <v/>
      </c>
      <c r="AP32" s="61">
        <f>ExpenseCategoryList!I29</f>
        <v>418000</v>
      </c>
      <c r="AQ32" s="43" t="s">
        <v>74</v>
      </c>
      <c r="AR32" s="61">
        <f>ExpenseCategoryList!G29</f>
        <v>418000</v>
      </c>
      <c r="AS32" s="41"/>
    </row>
    <row r="33" spans="1:68" s="16" customFormat="1" ht="19.899999999999999" customHeight="1" x14ac:dyDescent="0.15">
      <c r="A33" s="206" t="s">
        <v>154</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8"/>
      <c r="AE33" s="200">
        <f>ExpenseCategoryList!$Q$2</f>
        <v>0</v>
      </c>
      <c r="AF33" s="201"/>
      <c r="AG33" s="201"/>
      <c r="AH33" s="201"/>
      <c r="AI33" s="201"/>
      <c r="AJ33" s="202"/>
      <c r="AK33" s="18"/>
      <c r="AL33" s="36"/>
      <c r="AM33" s="62"/>
      <c r="AN33" s="62"/>
      <c r="AO33" s="62"/>
      <c r="AP33" s="63"/>
      <c r="AQ33" s="63"/>
      <c r="AR33" s="63"/>
      <c r="AS33" s="41"/>
    </row>
    <row r="34" spans="1:68" s="16" customFormat="1" ht="28.9" customHeight="1" x14ac:dyDescent="0.15">
      <c r="A34" s="211" t="s">
        <v>155</v>
      </c>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3"/>
      <c r="AE34" s="203">
        <f>ExpenseCategoryList!H40</f>
        <v>418000</v>
      </c>
      <c r="AF34" s="204"/>
      <c r="AG34" s="204"/>
      <c r="AH34" s="204"/>
      <c r="AI34" s="204"/>
      <c r="AJ34" s="205"/>
      <c r="AK34" s="18"/>
      <c r="AL34" s="36"/>
      <c r="AM34" s="64" t="str">
        <f>ExpenseCategoryList!E31</f>
        <v>×</v>
      </c>
      <c r="AN34" s="118">
        <f>IF(AP32=AR32,ExpenseCategoryList!I18,"")</f>
        <v>0</v>
      </c>
      <c r="AO34" s="65" t="str">
        <f>ExpenseCategoryList!J40</f>
        <v/>
      </c>
      <c r="AP34" s="101"/>
      <c r="AQ34" s="66"/>
      <c r="AR34" s="101"/>
      <c r="AS34" s="41"/>
    </row>
    <row r="35" spans="1:68" ht="19.5" customHeight="1" x14ac:dyDescent="0.15">
      <c r="A35" s="206" t="s">
        <v>156</v>
      </c>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8"/>
      <c r="AE35" s="200">
        <f>ExpenseCategoryList!$D$2</f>
        <v>627000</v>
      </c>
      <c r="AF35" s="201"/>
      <c r="AG35" s="201"/>
      <c r="AH35" s="201"/>
      <c r="AI35" s="201"/>
      <c r="AJ35" s="202"/>
      <c r="AK35" s="18"/>
      <c r="AL35" s="36"/>
      <c r="AM35" s="62"/>
      <c r="AN35" s="62"/>
      <c r="AO35" s="62"/>
      <c r="AP35" s="67"/>
      <c r="AQ35" s="67"/>
      <c r="AR35" s="67"/>
    </row>
    <row r="36" spans="1:68" ht="19.5" customHeight="1" x14ac:dyDescent="0.15">
      <c r="A36" s="218" t="s">
        <v>157</v>
      </c>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20"/>
      <c r="AE36" s="200">
        <f>ExpenseCategoryList!J20</f>
        <v>418000</v>
      </c>
      <c r="AF36" s="201"/>
      <c r="AG36" s="201"/>
      <c r="AH36" s="201"/>
      <c r="AI36" s="201"/>
      <c r="AJ36" s="202"/>
      <c r="AK36" s="117" t="str">
        <f>ExpenseCategoryList!E46</f>
        <v/>
      </c>
      <c r="AL36" s="36"/>
      <c r="AM36" s="64" t="str">
        <f>ExpenseCategoryList!E33</f>
        <v>〇</v>
      </c>
      <c r="AN36" s="118">
        <f>IF(AP32=AR32,ExpenseCategoryList!I22,"")</f>
        <v>0</v>
      </c>
      <c r="AO36" s="100" t="s">
        <v>111</v>
      </c>
      <c r="AP36" s="101"/>
      <c r="AQ36" s="68"/>
      <c r="AR36" s="101"/>
      <c r="AS36" s="42"/>
    </row>
    <row r="37" spans="1:68" ht="19.5" customHeight="1" x14ac:dyDescent="0.15">
      <c r="A37" s="188" t="s">
        <v>64</v>
      </c>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9" t="str">
        <f>ExpenseCategoryList!$R$2</f>
        <v>いいえ</v>
      </c>
      <c r="AF37" s="189"/>
      <c r="AG37" s="189"/>
      <c r="AH37" s="189"/>
      <c r="AI37" s="189"/>
      <c r="AJ37" s="189"/>
      <c r="AM37" s="64" t="str">
        <f>ExpenseCategoryList!E34</f>
        <v>×</v>
      </c>
      <c r="AN37" s="65"/>
      <c r="AO37" s="65" t="str">
        <f>ExpenseCategoryList!J42</f>
        <v/>
      </c>
      <c r="AP37" s="65"/>
      <c r="AQ37" s="65"/>
      <c r="AR37" s="65"/>
      <c r="AS37" s="38"/>
    </row>
    <row r="38" spans="1:68" ht="17.649999999999999" customHeight="1" x14ac:dyDescent="0.15">
      <c r="A38" s="221" t="s">
        <v>47</v>
      </c>
      <c r="B38" s="221"/>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8"/>
      <c r="AM38" s="69"/>
      <c r="AN38" s="69"/>
      <c r="AO38" s="67"/>
      <c r="AP38" s="67"/>
      <c r="AQ38" s="67"/>
      <c r="AR38" s="67"/>
    </row>
    <row r="39" spans="1:68" ht="17.649999999999999" customHeight="1" x14ac:dyDescent="0.15">
      <c r="A39" s="221" t="s">
        <v>28</v>
      </c>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8"/>
      <c r="AM39" s="120" t="s">
        <v>113</v>
      </c>
      <c r="AN39" s="119" t="str">
        <f xml:space="preserve"> ExpenseCategoryList!E38</f>
        <v/>
      </c>
      <c r="AO39" s="121" t="s">
        <v>138</v>
      </c>
      <c r="AP39" s="134" t="str">
        <f xml:space="preserve"> ExpenseCategoryList!E40</f>
        <v/>
      </c>
      <c r="AQ39" s="67"/>
      <c r="AR39" s="67"/>
    </row>
    <row r="40" spans="1:68" ht="17.649999999999999" customHeight="1" x14ac:dyDescent="0.15">
      <c r="A40" s="259" t="s">
        <v>158</v>
      </c>
      <c r="B40" s="259"/>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
      <c r="AM40" s="254"/>
      <c r="AN40" s="254"/>
      <c r="AO40" s="254"/>
      <c r="AP40" s="254"/>
      <c r="AQ40" s="254"/>
      <c r="AR40" s="254"/>
      <c r="AS40" s="254"/>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row>
    <row r="41" spans="1:68" ht="30" customHeight="1" x14ac:dyDescent="0.15">
      <c r="A41" s="209" t="s">
        <v>161</v>
      </c>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135"/>
      <c r="AM41" s="253" t="str">
        <f>ExpenseCategoryList!E48 &amp; ExpenseCategoryList!E49</f>
        <v/>
      </c>
      <c r="AN41" s="253"/>
      <c r="AO41" s="253"/>
      <c r="AP41" s="253"/>
      <c r="AQ41" s="253"/>
      <c r="AR41" s="253"/>
      <c r="AS41" s="253"/>
    </row>
    <row r="42" spans="1:68" ht="17.649999999999999" customHeight="1" x14ac:dyDescent="0.15">
      <c r="A42" s="184" t="s">
        <v>160</v>
      </c>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26"/>
      <c r="AM42" s="111"/>
      <c r="AN42" s="111"/>
      <c r="AO42" s="111"/>
      <c r="AP42" s="111"/>
      <c r="AQ42" s="111"/>
      <c r="AR42" s="111"/>
      <c r="AS42" s="111"/>
    </row>
    <row r="43" spans="1:68" ht="17.649999999999999" customHeight="1" x14ac:dyDescent="0.15">
      <c r="A43" s="184" t="s">
        <v>178</v>
      </c>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28"/>
      <c r="AM43" s="260"/>
      <c r="AN43" s="260"/>
      <c r="AO43" s="260"/>
      <c r="AP43" s="260"/>
      <c r="AQ43" s="260"/>
      <c r="AR43" s="260"/>
    </row>
    <row r="44" spans="1:68" ht="17.649999999999999" customHeight="1" x14ac:dyDescent="0.15">
      <c r="A44" s="184" t="s">
        <v>51</v>
      </c>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28"/>
      <c r="AM44" t="s">
        <v>120</v>
      </c>
    </row>
    <row r="45" spans="1:68" ht="17.649999999999999" customHeight="1" x14ac:dyDescent="0.15">
      <c r="A45" s="185" t="s">
        <v>159</v>
      </c>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27"/>
      <c r="AM45" t="s">
        <v>121</v>
      </c>
    </row>
    <row r="46" spans="1:68" ht="17.649999999999999" customHeight="1" x14ac:dyDescent="0.15">
      <c r="A46" s="184"/>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29"/>
      <c r="AM46" t="s">
        <v>122</v>
      </c>
    </row>
    <row r="47" spans="1:68" ht="28.9" customHeight="1" x14ac:dyDescent="0.15">
      <c r="A47" s="186" t="s">
        <v>52</v>
      </c>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21"/>
      <c r="AM47" t="s">
        <v>123</v>
      </c>
    </row>
    <row r="48" spans="1:68" ht="22.9" customHeight="1" thickBot="1" x14ac:dyDescent="0.2">
      <c r="A48" s="214" t="s">
        <v>29</v>
      </c>
      <c r="B48" s="215"/>
      <c r="C48" s="215"/>
      <c r="D48" s="215"/>
      <c r="E48" s="215"/>
      <c r="F48" s="216"/>
      <c r="G48" s="216"/>
      <c r="H48" s="216"/>
      <c r="I48" s="216"/>
      <c r="J48" s="215" t="s">
        <v>34</v>
      </c>
      <c r="K48" s="215"/>
      <c r="L48" s="215"/>
      <c r="M48" s="215"/>
      <c r="N48" s="247" t="s">
        <v>36</v>
      </c>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1"/>
      <c r="AL48" s="21"/>
    </row>
    <row r="49" spans="1:39" ht="22.9" customHeight="1" thickTop="1" x14ac:dyDescent="0.15">
      <c r="A49" s="190" t="s">
        <v>65</v>
      </c>
      <c r="B49" s="191"/>
      <c r="C49" s="191"/>
      <c r="D49" s="191"/>
      <c r="E49" s="191"/>
      <c r="F49" s="34"/>
      <c r="G49" s="192" t="s">
        <v>37</v>
      </c>
      <c r="H49" s="192"/>
      <c r="I49" s="35"/>
      <c r="J49" s="248" t="s">
        <v>66</v>
      </c>
      <c r="K49" s="248"/>
      <c r="L49" s="248"/>
      <c r="M49" s="249"/>
      <c r="N49" s="256" t="s">
        <v>67</v>
      </c>
      <c r="O49" s="257"/>
      <c r="P49" s="257"/>
      <c r="Q49" s="257"/>
      <c r="R49" s="257"/>
      <c r="S49" s="257"/>
      <c r="T49" s="257"/>
      <c r="U49" s="257"/>
      <c r="V49" s="257"/>
      <c r="W49" s="257"/>
      <c r="X49" s="257"/>
      <c r="Y49" s="257"/>
      <c r="Z49" s="257"/>
      <c r="AA49" s="257"/>
      <c r="AB49" s="257"/>
      <c r="AC49" s="257"/>
      <c r="AD49" s="257"/>
      <c r="AE49" s="257"/>
      <c r="AF49" s="257"/>
      <c r="AG49" s="257"/>
      <c r="AH49" s="257"/>
      <c r="AI49" s="257"/>
      <c r="AJ49" s="258"/>
      <c r="AK49" s="21"/>
      <c r="AL49" s="21"/>
      <c r="AM49" t="s">
        <v>126</v>
      </c>
    </row>
    <row r="50" spans="1:39" ht="43.15" customHeight="1" x14ac:dyDescent="0.15">
      <c r="A50" s="217" t="s">
        <v>30</v>
      </c>
      <c r="B50" s="193"/>
      <c r="C50" s="193"/>
      <c r="D50" s="193"/>
      <c r="E50" s="194"/>
      <c r="F50" s="32"/>
      <c r="G50" s="195" t="s">
        <v>37</v>
      </c>
      <c r="H50" s="195"/>
      <c r="I50" s="33"/>
      <c r="J50" s="249" t="s">
        <v>35</v>
      </c>
      <c r="K50" s="193"/>
      <c r="L50" s="193"/>
      <c r="M50" s="193"/>
      <c r="N50" s="255" t="s">
        <v>181</v>
      </c>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1"/>
      <c r="AL50" s="21"/>
      <c r="AM50" t="s">
        <v>124</v>
      </c>
    </row>
    <row r="51" spans="1:39" ht="22.9" customHeight="1" x14ac:dyDescent="0.15">
      <c r="A51" s="22"/>
      <c r="B51" s="182" t="s">
        <v>115</v>
      </c>
      <c r="C51" s="182"/>
      <c r="D51" s="182"/>
      <c r="E51" s="183"/>
      <c r="F51" s="23"/>
      <c r="G51" s="196" t="s">
        <v>37</v>
      </c>
      <c r="H51" s="196"/>
      <c r="I51" s="24"/>
      <c r="J51" s="249"/>
      <c r="K51" s="193"/>
      <c r="L51" s="193"/>
      <c r="M51" s="193"/>
      <c r="N51" s="255" t="s">
        <v>182</v>
      </c>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1"/>
      <c r="AL51" s="21"/>
      <c r="AM51" t="s">
        <v>125</v>
      </c>
    </row>
    <row r="52" spans="1:39" ht="22.9" customHeight="1" x14ac:dyDescent="0.15">
      <c r="A52" s="193" t="s">
        <v>31</v>
      </c>
      <c r="B52" s="193"/>
      <c r="C52" s="193"/>
      <c r="D52" s="193"/>
      <c r="E52" s="194"/>
      <c r="F52" s="23"/>
      <c r="G52" s="246" t="s">
        <v>37</v>
      </c>
      <c r="H52" s="246"/>
      <c r="I52" s="24"/>
      <c r="J52" s="249"/>
      <c r="K52" s="193"/>
      <c r="L52" s="193"/>
      <c r="M52" s="193"/>
      <c r="N52" s="255" t="s">
        <v>183</v>
      </c>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1"/>
      <c r="AL52" s="21"/>
    </row>
    <row r="53" spans="1:39" ht="22.9" customHeight="1" x14ac:dyDescent="0.15">
      <c r="A53" s="193" t="s">
        <v>32</v>
      </c>
      <c r="B53" s="193"/>
      <c r="C53" s="193"/>
      <c r="D53" s="193"/>
      <c r="E53" s="194"/>
      <c r="F53" s="23"/>
      <c r="G53" s="246" t="s">
        <v>37</v>
      </c>
      <c r="H53" s="246"/>
      <c r="I53" s="24"/>
      <c r="J53" s="249"/>
      <c r="K53" s="193"/>
      <c r="L53" s="193"/>
      <c r="M53" s="193"/>
      <c r="N53" s="255" t="s">
        <v>184</v>
      </c>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1"/>
      <c r="AL53" s="21"/>
      <c r="AM53" t="s">
        <v>114</v>
      </c>
    </row>
    <row r="54" spans="1:39" ht="43.9" customHeight="1" x14ac:dyDescent="0.15">
      <c r="A54" s="193" t="s">
        <v>33</v>
      </c>
      <c r="B54" s="193"/>
      <c r="C54" s="193"/>
      <c r="D54" s="193"/>
      <c r="E54" s="194"/>
      <c r="F54" s="23"/>
      <c r="G54" s="246" t="s">
        <v>37</v>
      </c>
      <c r="H54" s="246"/>
      <c r="I54" s="24"/>
      <c r="J54" s="249"/>
      <c r="K54" s="193"/>
      <c r="L54" s="193"/>
      <c r="M54" s="193"/>
      <c r="N54" s="255" t="s">
        <v>185</v>
      </c>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1"/>
      <c r="AL54" s="21"/>
      <c r="AM54" t="s">
        <v>141</v>
      </c>
    </row>
    <row r="55" spans="1:39" ht="19.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row>
    <row r="56" spans="1:39" ht="19.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row>
    <row r="57" spans="1:39" ht="19.5" customHeight="1" x14ac:dyDescent="0.15">
      <c r="A57" s="210" t="s">
        <v>168</v>
      </c>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M57" t="s">
        <v>116</v>
      </c>
    </row>
    <row r="58" spans="1:39" ht="25.9" customHeight="1" x14ac:dyDescent="0.15">
      <c r="A58" s="214" t="s">
        <v>176</v>
      </c>
      <c r="B58" s="215"/>
      <c r="C58" s="215"/>
      <c r="D58" s="215"/>
      <c r="E58" s="215"/>
      <c r="F58" s="216"/>
      <c r="G58" s="216"/>
      <c r="H58" s="216"/>
      <c r="I58" s="216"/>
      <c r="J58" s="214" t="s">
        <v>170</v>
      </c>
      <c r="K58" s="215"/>
      <c r="L58" s="215"/>
      <c r="M58" s="215"/>
      <c r="N58" s="247" t="s">
        <v>171</v>
      </c>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136"/>
      <c r="AL58" s="137"/>
      <c r="AM58" t="s">
        <v>142</v>
      </c>
    </row>
    <row r="59" spans="1:39" ht="37.15" customHeight="1" x14ac:dyDescent="0.15">
      <c r="A59" s="193" t="s">
        <v>169</v>
      </c>
      <c r="B59" s="193"/>
      <c r="C59" s="193"/>
      <c r="D59" s="193"/>
      <c r="E59" s="194"/>
      <c r="F59" s="138"/>
      <c r="G59" s="246" t="s">
        <v>37</v>
      </c>
      <c r="H59" s="246"/>
      <c r="I59" s="139"/>
      <c r="J59" s="248" t="s">
        <v>66</v>
      </c>
      <c r="K59" s="248"/>
      <c r="L59" s="248"/>
      <c r="M59" s="249"/>
      <c r="N59" s="250" t="s">
        <v>177</v>
      </c>
      <c r="O59" s="251"/>
      <c r="P59" s="251"/>
      <c r="Q59" s="251"/>
      <c r="R59" s="251"/>
      <c r="S59" s="251"/>
      <c r="T59" s="251"/>
      <c r="U59" s="251"/>
      <c r="V59" s="251"/>
      <c r="W59" s="251"/>
      <c r="X59" s="251"/>
      <c r="Y59" s="251"/>
      <c r="Z59" s="251"/>
      <c r="AA59" s="251"/>
      <c r="AB59" s="251"/>
      <c r="AC59" s="251"/>
      <c r="AD59" s="251"/>
      <c r="AE59" s="251"/>
      <c r="AF59" s="251"/>
      <c r="AG59" s="251"/>
      <c r="AH59" s="251"/>
      <c r="AI59" s="251"/>
      <c r="AJ59" s="252"/>
      <c r="AK59" s="21"/>
      <c r="AM59" t="s">
        <v>117</v>
      </c>
    </row>
    <row r="60" spans="1:39" ht="19.5"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M60" t="s">
        <v>143</v>
      </c>
    </row>
    <row r="61" spans="1:39" ht="19.5" customHeight="1" x14ac:dyDescent="0.15">
      <c r="A61" s="9" t="s">
        <v>2</v>
      </c>
      <c r="AK61" s="21"/>
      <c r="AM61" t="s">
        <v>117</v>
      </c>
    </row>
    <row r="62" spans="1:39" ht="19.5" customHeight="1" x14ac:dyDescent="0.15">
      <c r="A62" s="9" t="s">
        <v>118</v>
      </c>
      <c r="AM62" t="s">
        <v>144</v>
      </c>
    </row>
    <row r="63" spans="1:39" ht="39" customHeight="1" x14ac:dyDescent="0.15">
      <c r="A63" s="229" t="s">
        <v>3</v>
      </c>
      <c r="B63" s="230"/>
      <c r="C63" s="230"/>
      <c r="D63" s="230"/>
      <c r="E63" s="230"/>
      <c r="F63" s="230"/>
      <c r="G63" s="231" t="s">
        <v>6</v>
      </c>
      <c r="H63" s="232"/>
      <c r="I63" s="232"/>
      <c r="J63" s="232"/>
      <c r="K63" s="232"/>
      <c r="L63" s="233"/>
      <c r="M63" s="231" t="s">
        <v>5</v>
      </c>
      <c r="N63" s="232"/>
      <c r="O63" s="232"/>
      <c r="P63" s="232"/>
      <c r="Q63" s="233"/>
      <c r="T63" s="229" t="s">
        <v>3</v>
      </c>
      <c r="U63" s="229"/>
      <c r="V63" s="229"/>
      <c r="W63" s="229"/>
      <c r="X63" s="229"/>
      <c r="Y63" s="229"/>
      <c r="Z63" s="229"/>
      <c r="AA63" s="234" t="s">
        <v>6</v>
      </c>
      <c r="AB63" s="235"/>
      <c r="AC63" s="235"/>
      <c r="AD63" s="235"/>
      <c r="AE63" s="236"/>
      <c r="AF63" s="181" t="s">
        <v>5</v>
      </c>
      <c r="AG63" s="181"/>
      <c r="AH63" s="181"/>
      <c r="AI63" s="181"/>
      <c r="AJ63" s="181"/>
      <c r="AM63" t="s">
        <v>140</v>
      </c>
    </row>
    <row r="64" spans="1:39" ht="19.5" customHeight="1" x14ac:dyDescent="0.15">
      <c r="A64" s="222" t="s">
        <v>18</v>
      </c>
      <c r="B64" s="223"/>
      <c r="C64" s="223"/>
      <c r="D64" s="223"/>
      <c r="E64" s="223"/>
      <c r="F64" s="223"/>
      <c r="G64" s="154">
        <v>0</v>
      </c>
      <c r="H64" s="155"/>
      <c r="I64" s="155"/>
      <c r="J64" s="155"/>
      <c r="K64" s="155"/>
      <c r="L64" s="156"/>
      <c r="M64" s="237"/>
      <c r="N64" s="238"/>
      <c r="O64" s="238"/>
      <c r="P64" s="238"/>
      <c r="Q64" s="239"/>
      <c r="T64" s="222" t="s">
        <v>12</v>
      </c>
      <c r="U64" s="223"/>
      <c r="V64" s="223"/>
      <c r="W64" s="223"/>
      <c r="X64" s="223"/>
      <c r="Y64" s="223"/>
      <c r="Z64" s="223"/>
      <c r="AA64" s="225">
        <v>0</v>
      </c>
      <c r="AB64" s="226"/>
      <c r="AC64" s="226"/>
      <c r="AD64" s="226"/>
      <c r="AE64" s="227"/>
      <c r="AF64" s="228"/>
      <c r="AG64" s="228"/>
      <c r="AH64" s="228"/>
      <c r="AI64" s="228"/>
      <c r="AJ64" s="228"/>
      <c r="AK64" s="18"/>
    </row>
    <row r="65" spans="1:39" ht="39" customHeight="1" x14ac:dyDescent="0.15">
      <c r="A65" s="222" t="s">
        <v>15</v>
      </c>
      <c r="B65" s="223"/>
      <c r="C65" s="223"/>
      <c r="D65" s="223"/>
      <c r="E65" s="223"/>
      <c r="F65" s="223"/>
      <c r="G65" s="243">
        <f>AA64+AA65+AA66</f>
        <v>0</v>
      </c>
      <c r="H65" s="244"/>
      <c r="I65" s="244"/>
      <c r="J65" s="244"/>
      <c r="K65" s="244"/>
      <c r="L65" s="245"/>
      <c r="M65" s="237"/>
      <c r="N65" s="238"/>
      <c r="O65" s="238"/>
      <c r="P65" s="238"/>
      <c r="Q65" s="239"/>
      <c r="T65" s="222" t="s">
        <v>13</v>
      </c>
      <c r="U65" s="223"/>
      <c r="V65" s="223"/>
      <c r="W65" s="223"/>
      <c r="X65" s="223"/>
      <c r="Y65" s="223"/>
      <c r="Z65" s="223"/>
      <c r="AA65" s="225">
        <v>0</v>
      </c>
      <c r="AB65" s="226"/>
      <c r="AC65" s="226"/>
      <c r="AD65" s="226"/>
      <c r="AE65" s="227"/>
      <c r="AF65" s="224"/>
      <c r="AG65" s="224"/>
      <c r="AH65" s="224"/>
      <c r="AI65" s="224"/>
      <c r="AJ65" s="224"/>
      <c r="AK65" s="18"/>
    </row>
    <row r="66" spans="1:39" ht="39" customHeight="1" x14ac:dyDescent="0.15">
      <c r="A66" s="222" t="s">
        <v>16</v>
      </c>
      <c r="B66" s="223"/>
      <c r="C66" s="223"/>
      <c r="D66" s="223"/>
      <c r="E66" s="223"/>
      <c r="F66" s="223"/>
      <c r="G66" s="154">
        <v>0</v>
      </c>
      <c r="H66" s="155"/>
      <c r="I66" s="155"/>
      <c r="J66" s="155"/>
      <c r="K66" s="155"/>
      <c r="L66" s="156"/>
      <c r="M66" s="224"/>
      <c r="N66" s="224"/>
      <c r="O66" s="224"/>
      <c r="P66" s="224"/>
      <c r="Q66" s="224"/>
      <c r="T66" s="222" t="s">
        <v>14</v>
      </c>
      <c r="U66" s="223"/>
      <c r="V66" s="223"/>
      <c r="W66" s="223"/>
      <c r="X66" s="223"/>
      <c r="Y66" s="223"/>
      <c r="Z66" s="223"/>
      <c r="AA66" s="225">
        <v>0</v>
      </c>
      <c r="AB66" s="226"/>
      <c r="AC66" s="226"/>
      <c r="AD66" s="226"/>
      <c r="AE66" s="227"/>
      <c r="AF66" s="224"/>
      <c r="AG66" s="224"/>
      <c r="AH66" s="224"/>
      <c r="AI66" s="224"/>
      <c r="AJ66" s="224"/>
      <c r="AK66" s="18"/>
    </row>
    <row r="67" spans="1:39" ht="19.5" customHeight="1" x14ac:dyDescent="0.15">
      <c r="A67" s="222" t="s">
        <v>17</v>
      </c>
      <c r="B67" s="223"/>
      <c r="C67" s="223"/>
      <c r="D67" s="223"/>
      <c r="E67" s="223"/>
      <c r="F67" s="223"/>
      <c r="G67" s="154">
        <v>0</v>
      </c>
      <c r="H67" s="155"/>
      <c r="I67" s="155"/>
      <c r="J67" s="155"/>
      <c r="K67" s="155"/>
      <c r="L67" s="156"/>
      <c r="M67" s="240"/>
      <c r="N67" s="241"/>
      <c r="O67" s="241"/>
      <c r="P67" s="241"/>
      <c r="Q67" s="242"/>
      <c r="AJ67" s="144"/>
      <c r="AM67" s="37" t="s">
        <v>69</v>
      </c>
    </row>
    <row r="68" spans="1:39" ht="39" customHeight="1" x14ac:dyDescent="0.15">
      <c r="A68" s="222" t="s">
        <v>7</v>
      </c>
      <c r="B68" s="223"/>
      <c r="C68" s="223"/>
      <c r="D68" s="223"/>
      <c r="E68" s="223"/>
      <c r="F68" s="223"/>
      <c r="G68" s="243">
        <f>G64+G65+G66+G67</f>
        <v>0</v>
      </c>
      <c r="H68" s="244"/>
      <c r="I68" s="244"/>
      <c r="J68" s="244"/>
      <c r="K68" s="244"/>
      <c r="L68" s="245"/>
      <c r="M68" s="237"/>
      <c r="N68" s="238"/>
      <c r="O68" s="238"/>
      <c r="P68" s="238"/>
      <c r="Q68" s="239"/>
      <c r="AM68" s="64" t="str">
        <f>ExpenseCategoryList!D57</f>
        <v>×</v>
      </c>
    </row>
    <row r="69" spans="1:39" ht="19.5" customHeight="1" x14ac:dyDescent="0.15">
      <c r="A69" s="10"/>
      <c r="B69" s="11"/>
      <c r="C69" s="11"/>
      <c r="D69" s="11"/>
      <c r="E69" s="11"/>
      <c r="F69" s="11"/>
      <c r="G69" s="12"/>
      <c r="H69" s="11"/>
      <c r="I69" s="11"/>
      <c r="J69" s="11"/>
      <c r="K69" s="11"/>
      <c r="L69" s="13"/>
      <c r="M69" s="11"/>
      <c r="N69" s="11"/>
      <c r="O69" s="11"/>
      <c r="P69" s="11"/>
    </row>
    <row r="70" spans="1:39" ht="19.5" customHeight="1" x14ac:dyDescent="0.15">
      <c r="A70" s="8" t="s">
        <v>166</v>
      </c>
    </row>
    <row r="71" spans="1:39" ht="19.5" customHeight="1" x14ac:dyDescent="0.15">
      <c r="A71" s="8" t="s">
        <v>167</v>
      </c>
    </row>
    <row r="72" spans="1:39" ht="19.5" customHeight="1" x14ac:dyDescent="0.15">
      <c r="A72" s="8" t="s">
        <v>4</v>
      </c>
    </row>
    <row r="73" spans="1:39" ht="19.5" customHeight="1" x14ac:dyDescent="0.15">
      <c r="A73" s="14" t="s">
        <v>19</v>
      </c>
    </row>
  </sheetData>
  <sheetProtection algorithmName="SHA-512" hashValue="N2k/079vIrK4fCHzqkaljXcCW1CiIfjAPc9B6u/IYoAe5CdsKIl0N0pGCOGjG3bj2vH2Cr4/iyV2SzXzXoy0Cg==" saltValue="jb/QSlN6F8VeQooY1YNSxw==" spinCount="100000" sheet="1" formatRows="0" insertRows="0" deleteRows="0" selectLockedCells="1"/>
  <dataConsolidate/>
  <mergeCells count="182">
    <mergeCell ref="AM41:AS41"/>
    <mergeCell ref="AM40:AS40"/>
    <mergeCell ref="J48:M48"/>
    <mergeCell ref="J50:M54"/>
    <mergeCell ref="N48:AJ48"/>
    <mergeCell ref="N50:AJ50"/>
    <mergeCell ref="N51:AJ51"/>
    <mergeCell ref="N52:AJ52"/>
    <mergeCell ref="N53:AJ53"/>
    <mergeCell ref="N54:AJ54"/>
    <mergeCell ref="J49:M49"/>
    <mergeCell ref="N49:AJ49"/>
    <mergeCell ref="A40:AK40"/>
    <mergeCell ref="AM43:AR43"/>
    <mergeCell ref="A67:F67"/>
    <mergeCell ref="G67:L67"/>
    <mergeCell ref="M67:Q67"/>
    <mergeCell ref="A68:F68"/>
    <mergeCell ref="G68:L68"/>
    <mergeCell ref="M68:Q68"/>
    <mergeCell ref="G52:H52"/>
    <mergeCell ref="G53:H53"/>
    <mergeCell ref="G54:H54"/>
    <mergeCell ref="A58:I58"/>
    <mergeCell ref="J58:M58"/>
    <mergeCell ref="N58:AJ58"/>
    <mergeCell ref="A59:E59"/>
    <mergeCell ref="G59:H59"/>
    <mergeCell ref="J59:M59"/>
    <mergeCell ref="N59:AJ59"/>
    <mergeCell ref="AF66:AJ66"/>
    <mergeCell ref="A65:F65"/>
    <mergeCell ref="G65:L65"/>
    <mergeCell ref="M65:Q65"/>
    <mergeCell ref="T65:Z65"/>
    <mergeCell ref="AA65:AE65"/>
    <mergeCell ref="AF65:AJ65"/>
    <mergeCell ref="G64:L64"/>
    <mergeCell ref="A30:F30"/>
    <mergeCell ref="G30:U30"/>
    <mergeCell ref="V30:AD30"/>
    <mergeCell ref="AE30:AJ30"/>
    <mergeCell ref="A36:AD36"/>
    <mergeCell ref="AE36:AJ36"/>
    <mergeCell ref="A38:AK38"/>
    <mergeCell ref="A66:F66"/>
    <mergeCell ref="G66:L66"/>
    <mergeCell ref="M66:Q66"/>
    <mergeCell ref="T66:Z66"/>
    <mergeCell ref="AA66:AE66"/>
    <mergeCell ref="AA64:AE64"/>
    <mergeCell ref="AF64:AJ64"/>
    <mergeCell ref="A63:F63"/>
    <mergeCell ref="G63:L63"/>
    <mergeCell ref="M63:Q63"/>
    <mergeCell ref="T63:Z63"/>
    <mergeCell ref="AA63:AE63"/>
    <mergeCell ref="M64:Q64"/>
    <mergeCell ref="T64:Z64"/>
    <mergeCell ref="A64:F64"/>
    <mergeCell ref="A39:AK39"/>
    <mergeCell ref="AE31:AJ31"/>
    <mergeCell ref="AE32:AJ32"/>
    <mergeCell ref="AE33:AJ33"/>
    <mergeCell ref="AE34:AJ34"/>
    <mergeCell ref="A31:AD31"/>
    <mergeCell ref="A41:AK41"/>
    <mergeCell ref="A57:AK57"/>
    <mergeCell ref="A33:AD33"/>
    <mergeCell ref="A34:AD34"/>
    <mergeCell ref="A42:AK42"/>
    <mergeCell ref="A48:I48"/>
    <mergeCell ref="A50:E50"/>
    <mergeCell ref="A32:AD32"/>
    <mergeCell ref="A35:AD35"/>
    <mergeCell ref="AE35:AJ35"/>
    <mergeCell ref="S5:U5"/>
    <mergeCell ref="V5:AJ5"/>
    <mergeCell ref="A9:F10"/>
    <mergeCell ref="G9:U10"/>
    <mergeCell ref="V9:AD10"/>
    <mergeCell ref="AE9:AJ9"/>
    <mergeCell ref="AE10:AJ10"/>
    <mergeCell ref="AE12:AJ12"/>
    <mergeCell ref="AF63:AJ63"/>
    <mergeCell ref="B51:E51"/>
    <mergeCell ref="A43:AK43"/>
    <mergeCell ref="A45:AK45"/>
    <mergeCell ref="A46:AK46"/>
    <mergeCell ref="A47:AK47"/>
    <mergeCell ref="A37:AD37"/>
    <mergeCell ref="AE37:AJ37"/>
    <mergeCell ref="A49:E49"/>
    <mergeCell ref="G49:H49"/>
    <mergeCell ref="A44:AK44"/>
    <mergeCell ref="A53:E53"/>
    <mergeCell ref="A54:E54"/>
    <mergeCell ref="A52:E52"/>
    <mergeCell ref="G50:H50"/>
    <mergeCell ref="G51:H51"/>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 ref="A15:F15"/>
    <mergeCell ref="G15:U15"/>
    <mergeCell ref="V15:AD15"/>
    <mergeCell ref="AE15:AJ15"/>
    <mergeCell ref="A16:F16"/>
    <mergeCell ref="G16:U16"/>
    <mergeCell ref="V16:AD16"/>
    <mergeCell ref="AE16:AJ16"/>
    <mergeCell ref="A17:F17"/>
    <mergeCell ref="G17:U17"/>
    <mergeCell ref="V17:AD17"/>
    <mergeCell ref="AE17:AJ17"/>
    <mergeCell ref="A18:F18"/>
    <mergeCell ref="G18:U18"/>
    <mergeCell ref="V18:AD18"/>
    <mergeCell ref="AE18:AJ18"/>
    <mergeCell ref="A19:F19"/>
    <mergeCell ref="G19:U19"/>
    <mergeCell ref="V19:AD19"/>
    <mergeCell ref="AE19:AJ19"/>
    <mergeCell ref="A20:F20"/>
    <mergeCell ref="G20:U20"/>
    <mergeCell ref="V20:AD20"/>
    <mergeCell ref="AE20:AJ20"/>
    <mergeCell ref="A21:F21"/>
    <mergeCell ref="G21:U21"/>
    <mergeCell ref="V21:AD21"/>
    <mergeCell ref="AE21:AJ21"/>
    <mergeCell ref="A22:F22"/>
    <mergeCell ref="G22:U22"/>
    <mergeCell ref="V22:AD22"/>
    <mergeCell ref="AE22:AJ22"/>
    <mergeCell ref="A23:F23"/>
    <mergeCell ref="G23:U23"/>
    <mergeCell ref="V23:AD23"/>
    <mergeCell ref="AE23:AJ23"/>
    <mergeCell ref="A24:F24"/>
    <mergeCell ref="G24:U24"/>
    <mergeCell ref="V24:AD24"/>
    <mergeCell ref="AE24:AJ24"/>
    <mergeCell ref="A25:F25"/>
    <mergeCell ref="G25:U25"/>
    <mergeCell ref="V25:AD25"/>
    <mergeCell ref="AE25:AJ25"/>
    <mergeCell ref="A26:F26"/>
    <mergeCell ref="G26:U26"/>
    <mergeCell ref="V26:AD26"/>
    <mergeCell ref="AE26:AJ26"/>
    <mergeCell ref="A27:F27"/>
    <mergeCell ref="G27:U27"/>
    <mergeCell ref="V27:AD27"/>
    <mergeCell ref="AE27:AJ27"/>
    <mergeCell ref="A28:F28"/>
    <mergeCell ref="G28:U28"/>
    <mergeCell ref="V28:AD28"/>
    <mergeCell ref="AE28:AJ28"/>
    <mergeCell ref="A29:F29"/>
    <mergeCell ref="G29:U29"/>
    <mergeCell ref="V29:AD29"/>
    <mergeCell ref="AE29:AJ29"/>
  </mergeCells>
  <phoneticPr fontId="10"/>
  <conditionalFormatting sqref="AA64">
    <cfRule type="expression" dxfId="104" priority="171">
      <formula>OR($AE$36&lt;&gt;$G$65,$AA$64="")</formula>
    </cfRule>
  </conditionalFormatting>
  <conditionalFormatting sqref="A11 A31:A34 AM41">
    <cfRule type="expression" dxfId="103" priority="170">
      <formula>$DD11="×"</formula>
    </cfRule>
  </conditionalFormatting>
  <conditionalFormatting sqref="G11">
    <cfRule type="expression" dxfId="102" priority="169">
      <formula>$DE11="×"</formula>
    </cfRule>
  </conditionalFormatting>
  <conditionalFormatting sqref="V11">
    <cfRule type="expression" dxfId="101" priority="166">
      <formula>$DF11="×"</formula>
    </cfRule>
  </conditionalFormatting>
  <conditionalFormatting sqref="G66">
    <cfRule type="expression" dxfId="100" priority="156">
      <formula>OR(AE35&lt;&gt;$G$68,$G$66="")</formula>
    </cfRule>
  </conditionalFormatting>
  <conditionalFormatting sqref="AA65">
    <cfRule type="expression" dxfId="99" priority="152">
      <formula>OR($AE$36&lt;&gt;$G$65,$AA$65="")</formula>
    </cfRule>
  </conditionalFormatting>
  <conditionalFormatting sqref="AA66">
    <cfRule type="expression" dxfId="98" priority="151">
      <formula>OR($AE$36&lt;&gt;$G$65,$AA$66="")</formula>
    </cfRule>
  </conditionalFormatting>
  <conditionalFormatting sqref="AF65">
    <cfRule type="expression" dxfId="97" priority="150">
      <formula>AND($AA$65&gt;0,$AF$65="")</formula>
    </cfRule>
  </conditionalFormatting>
  <conditionalFormatting sqref="AF66">
    <cfRule type="expression" dxfId="96" priority="149">
      <formula>AND($AA$66&gt;0,$AF$66="")</formula>
    </cfRule>
  </conditionalFormatting>
  <conditionalFormatting sqref="V5:AJ5">
    <cfRule type="expression" dxfId="95" priority="138">
      <formula>$V$5=""</formula>
    </cfRule>
  </conditionalFormatting>
  <conditionalFormatting sqref="AE10:AJ10">
    <cfRule type="expression" dxfId="94" priority="137">
      <formula>AND($AE$10&lt;&gt;"（税込）", $AE$10&lt;&gt;"（税抜）")</formula>
    </cfRule>
  </conditionalFormatting>
  <conditionalFormatting sqref="AE11:AJ11">
    <cfRule type="expression" dxfId="93" priority="111">
      <formula>$DG11="×"</formula>
    </cfRule>
  </conditionalFormatting>
  <conditionalFormatting sqref="AE32:AJ32">
    <cfRule type="expression" dxfId="92" priority="97">
      <formula>$AM$32="×"</formula>
    </cfRule>
  </conditionalFormatting>
  <conditionalFormatting sqref="AE34:AJ34">
    <cfRule type="expression" dxfId="91" priority="96">
      <formula>$AM$34="×"</formula>
    </cfRule>
  </conditionalFormatting>
  <conditionalFormatting sqref="AE37:AJ37">
    <cfRule type="expression" dxfId="90" priority="93">
      <formula>$AE$37="いいえ"</formula>
    </cfRule>
  </conditionalFormatting>
  <conditionalFormatting sqref="AE36:AJ36">
    <cfRule type="expression" dxfId="89" priority="95">
      <formula>$AM$36="×"</formula>
    </cfRule>
  </conditionalFormatting>
  <conditionalFormatting sqref="AM40">
    <cfRule type="expression" dxfId="88" priority="86">
      <formula>$DD40="×"</formula>
    </cfRule>
  </conditionalFormatting>
  <conditionalFormatting sqref="AM42">
    <cfRule type="expression" dxfId="87" priority="85">
      <formula>$DD42="×"</formula>
    </cfRule>
  </conditionalFormatting>
  <conditionalFormatting sqref="M67">
    <cfRule type="expression" dxfId="86" priority="84">
      <formula>AND($G$67&gt;0,$M$67="")</formula>
    </cfRule>
  </conditionalFormatting>
  <conditionalFormatting sqref="M66">
    <cfRule type="expression" dxfId="85" priority="82">
      <formula>AND($G$66&gt;0,$M$66="")</formula>
    </cfRule>
  </conditionalFormatting>
  <conditionalFormatting sqref="A12:A14 A30">
    <cfRule type="expression" dxfId="84" priority="81">
      <formula>$DD12="×"</formula>
    </cfRule>
  </conditionalFormatting>
  <conditionalFormatting sqref="G12:G14 G30">
    <cfRule type="expression" dxfId="83" priority="80">
      <formula>$DE12="×"</formula>
    </cfRule>
  </conditionalFormatting>
  <conditionalFormatting sqref="V12:V14 V30">
    <cfRule type="expression" dxfId="82" priority="78">
      <formula>$DF12="×"</formula>
    </cfRule>
  </conditionalFormatting>
  <conditionalFormatting sqref="AE12:AJ14 AE30:AJ30">
    <cfRule type="expression" dxfId="81" priority="77">
      <formula>$DG12="×"</formula>
    </cfRule>
  </conditionalFormatting>
  <conditionalFormatting sqref="G64">
    <cfRule type="expression" dxfId="80" priority="306">
      <formula>OR(AE35&lt;&gt;G68,$G$64="")</formula>
    </cfRule>
  </conditionalFormatting>
  <conditionalFormatting sqref="G67">
    <cfRule type="expression" dxfId="79" priority="307">
      <formula>OR(AE35&lt;&gt;G68,$G$67="")</formula>
    </cfRule>
  </conditionalFormatting>
  <conditionalFormatting sqref="A15">
    <cfRule type="expression" dxfId="78" priority="75">
      <formula>$DD15="×"</formula>
    </cfRule>
  </conditionalFormatting>
  <conditionalFormatting sqref="G15">
    <cfRule type="expression" dxfId="77" priority="74">
      <formula>$DE15="×"</formula>
    </cfRule>
  </conditionalFormatting>
  <conditionalFormatting sqref="V15">
    <cfRule type="expression" dxfId="76" priority="72">
      <formula>$DF15="×"</formula>
    </cfRule>
  </conditionalFormatting>
  <conditionalFormatting sqref="AE15:AJ15">
    <cfRule type="expression" dxfId="75" priority="71">
      <formula>$DG15="×"</formula>
    </cfRule>
  </conditionalFormatting>
  <conditionalFormatting sqref="A16">
    <cfRule type="expression" dxfId="74" priority="70">
      <formula>$DD16="×"</formula>
    </cfRule>
  </conditionalFormatting>
  <conditionalFormatting sqref="G16">
    <cfRule type="expression" dxfId="73" priority="69">
      <formula>$DE16="×"</formula>
    </cfRule>
  </conditionalFormatting>
  <conditionalFormatting sqref="V16">
    <cfRule type="expression" dxfId="72" priority="67">
      <formula>$DF16="×"</formula>
    </cfRule>
  </conditionalFormatting>
  <conditionalFormatting sqref="AE16:AJ16">
    <cfRule type="expression" dxfId="71" priority="66">
      <formula>$DG16="×"</formula>
    </cfRule>
  </conditionalFormatting>
  <conditionalFormatting sqref="A17">
    <cfRule type="expression" dxfId="70" priority="65">
      <formula>$DD17="×"</formula>
    </cfRule>
  </conditionalFormatting>
  <conditionalFormatting sqref="G17">
    <cfRule type="expression" dxfId="69" priority="64">
      <formula>$DE17="×"</formula>
    </cfRule>
  </conditionalFormatting>
  <conditionalFormatting sqref="V17">
    <cfRule type="expression" dxfId="68" priority="62">
      <formula>$DF17="×"</formula>
    </cfRule>
  </conditionalFormatting>
  <conditionalFormatting sqref="AE17:AJ17">
    <cfRule type="expression" dxfId="67" priority="61">
      <formula>$DG17="×"</formula>
    </cfRule>
  </conditionalFormatting>
  <conditionalFormatting sqref="A18">
    <cfRule type="expression" dxfId="66" priority="60">
      <formula>$DD18="×"</formula>
    </cfRule>
  </conditionalFormatting>
  <conditionalFormatting sqref="G18">
    <cfRule type="expression" dxfId="65" priority="59">
      <formula>$DE18="×"</formula>
    </cfRule>
  </conditionalFormatting>
  <conditionalFormatting sqref="V18">
    <cfRule type="expression" dxfId="64" priority="57">
      <formula>$DF18="×"</formula>
    </cfRule>
  </conditionalFormatting>
  <conditionalFormatting sqref="AE18:AJ18">
    <cfRule type="expression" dxfId="63" priority="56">
      <formula>$DG18="×"</formula>
    </cfRule>
  </conditionalFormatting>
  <conditionalFormatting sqref="A19">
    <cfRule type="expression" dxfId="62" priority="55">
      <formula>$DD19="×"</formula>
    </cfRule>
  </conditionalFormatting>
  <conditionalFormatting sqref="G19">
    <cfRule type="expression" dxfId="61" priority="54">
      <formula>$DE19="×"</formula>
    </cfRule>
  </conditionalFormatting>
  <conditionalFormatting sqref="V19">
    <cfRule type="expression" dxfId="60" priority="52">
      <formula>$DF19="×"</formula>
    </cfRule>
  </conditionalFormatting>
  <conditionalFormatting sqref="AE19:AJ19">
    <cfRule type="expression" dxfId="59" priority="51">
      <formula>$DG19="×"</formula>
    </cfRule>
  </conditionalFormatting>
  <conditionalFormatting sqref="A20">
    <cfRule type="expression" dxfId="58" priority="50">
      <formula>$DD20="×"</formula>
    </cfRule>
  </conditionalFormatting>
  <conditionalFormatting sqref="G20">
    <cfRule type="expression" dxfId="57" priority="49">
      <formula>$DE20="×"</formula>
    </cfRule>
  </conditionalFormatting>
  <conditionalFormatting sqref="V20">
    <cfRule type="expression" dxfId="56" priority="47">
      <formula>$DF20="×"</formula>
    </cfRule>
  </conditionalFormatting>
  <conditionalFormatting sqref="AE20:AJ20">
    <cfRule type="expression" dxfId="55" priority="46">
      <formula>$DG20="×"</formula>
    </cfRule>
  </conditionalFormatting>
  <conditionalFormatting sqref="A21">
    <cfRule type="expression" dxfId="54" priority="45">
      <formula>$DD21="×"</formula>
    </cfRule>
  </conditionalFormatting>
  <conditionalFormatting sqref="G21">
    <cfRule type="expression" dxfId="53" priority="44">
      <formula>$DE21="×"</formula>
    </cfRule>
  </conditionalFormatting>
  <conditionalFormatting sqref="V21">
    <cfRule type="expression" dxfId="52" priority="42">
      <formula>$DF21="×"</formula>
    </cfRule>
  </conditionalFormatting>
  <conditionalFormatting sqref="AE21:AJ21">
    <cfRule type="expression" dxfId="51" priority="41">
      <formula>$DG21="×"</formula>
    </cfRule>
  </conditionalFormatting>
  <conditionalFormatting sqref="A22">
    <cfRule type="expression" dxfId="50" priority="40">
      <formula>$DD22="×"</formula>
    </cfRule>
  </conditionalFormatting>
  <conditionalFormatting sqref="G22">
    <cfRule type="expression" dxfId="49" priority="39">
      <formula>$DE22="×"</formula>
    </cfRule>
  </conditionalFormatting>
  <conditionalFormatting sqref="V22">
    <cfRule type="expression" dxfId="48" priority="37">
      <formula>$DF22="×"</formula>
    </cfRule>
  </conditionalFormatting>
  <conditionalFormatting sqref="AE22:AJ22">
    <cfRule type="expression" dxfId="47" priority="36">
      <formula>$DG22="×"</formula>
    </cfRule>
  </conditionalFormatting>
  <conditionalFormatting sqref="A23">
    <cfRule type="expression" dxfId="46" priority="35">
      <formula>$DD23="×"</formula>
    </cfRule>
  </conditionalFormatting>
  <conditionalFormatting sqref="G23">
    <cfRule type="expression" dxfId="45" priority="34">
      <formula>$DE23="×"</formula>
    </cfRule>
  </conditionalFormatting>
  <conditionalFormatting sqref="V23">
    <cfRule type="expression" dxfId="44" priority="32">
      <formula>$DF23="×"</formula>
    </cfRule>
  </conditionalFormatting>
  <conditionalFormatting sqref="AE23:AJ23">
    <cfRule type="expression" dxfId="43" priority="31">
      <formula>$DG23="×"</formula>
    </cfRule>
  </conditionalFormatting>
  <conditionalFormatting sqref="A24">
    <cfRule type="expression" dxfId="42" priority="30">
      <formula>$DD24="×"</formula>
    </cfRule>
  </conditionalFormatting>
  <conditionalFormatting sqref="G24">
    <cfRule type="expression" dxfId="41" priority="29">
      <formula>$DE24="×"</formula>
    </cfRule>
  </conditionalFormatting>
  <conditionalFormatting sqref="V24">
    <cfRule type="expression" dxfId="40" priority="27">
      <formula>$DF24="×"</formula>
    </cfRule>
  </conditionalFormatting>
  <conditionalFormatting sqref="AE24:AJ24">
    <cfRule type="expression" dxfId="39" priority="26">
      <formula>$DG24="×"</formula>
    </cfRule>
  </conditionalFormatting>
  <conditionalFormatting sqref="A25">
    <cfRule type="expression" dxfId="38" priority="25">
      <formula>$DD25="×"</formula>
    </cfRule>
  </conditionalFormatting>
  <conditionalFormatting sqref="G25">
    <cfRule type="expression" dxfId="37" priority="24">
      <formula>$DE25="×"</formula>
    </cfRule>
  </conditionalFormatting>
  <conditionalFormatting sqref="V25">
    <cfRule type="expression" dxfId="36" priority="22">
      <formula>$DF25="×"</formula>
    </cfRule>
  </conditionalFormatting>
  <conditionalFormatting sqref="AE25:AJ25">
    <cfRule type="expression" dxfId="35" priority="21">
      <formula>$DG25="×"</formula>
    </cfRule>
  </conditionalFormatting>
  <conditionalFormatting sqref="A26">
    <cfRule type="expression" dxfId="34" priority="20">
      <formula>$DD26="×"</formula>
    </cfRule>
  </conditionalFormatting>
  <conditionalFormatting sqref="G26">
    <cfRule type="expression" dxfId="33" priority="19">
      <formula>$DE26="×"</formula>
    </cfRule>
  </conditionalFormatting>
  <conditionalFormatting sqref="V26">
    <cfRule type="expression" dxfId="32" priority="17">
      <formula>$DF26="×"</formula>
    </cfRule>
  </conditionalFormatting>
  <conditionalFormatting sqref="AE26:AJ26">
    <cfRule type="expression" dxfId="31" priority="16">
      <formula>$DG26="×"</formula>
    </cfRule>
  </conditionalFormatting>
  <conditionalFormatting sqref="A27">
    <cfRule type="expression" dxfId="30" priority="15">
      <formula>$DD27="×"</formula>
    </cfRule>
  </conditionalFormatting>
  <conditionalFormatting sqref="G27">
    <cfRule type="expression" dxfId="29" priority="14">
      <formula>$DE27="×"</formula>
    </cfRule>
  </conditionalFormatting>
  <conditionalFormatting sqref="V27">
    <cfRule type="expression" dxfId="28" priority="12">
      <formula>$DF27="×"</formula>
    </cfRule>
  </conditionalFormatting>
  <conditionalFormatting sqref="AE27:AJ27">
    <cfRule type="expression" dxfId="27" priority="11">
      <formula>$DG27="×"</formula>
    </cfRule>
  </conditionalFormatting>
  <conditionalFormatting sqref="A28">
    <cfRule type="expression" dxfId="26" priority="10">
      <formula>$DD28="×"</formula>
    </cfRule>
  </conditionalFormatting>
  <conditionalFormatting sqref="G28">
    <cfRule type="expression" dxfId="25" priority="9">
      <formula>$DE28="×"</formula>
    </cfRule>
  </conditionalFormatting>
  <conditionalFormatting sqref="V28">
    <cfRule type="expression" dxfId="24" priority="7">
      <formula>$DF28="×"</formula>
    </cfRule>
  </conditionalFormatting>
  <conditionalFormatting sqref="AE28:AJ28">
    <cfRule type="expression" dxfId="23" priority="6">
      <formula>$DG28="×"</formula>
    </cfRule>
  </conditionalFormatting>
  <conditionalFormatting sqref="A29">
    <cfRule type="expression" dxfId="22" priority="5">
      <formula>$DD29="×"</formula>
    </cfRule>
  </conditionalFormatting>
  <conditionalFormatting sqref="G29">
    <cfRule type="expression" dxfId="21" priority="4">
      <formula>$DE29="×"</formula>
    </cfRule>
  </conditionalFormatting>
  <conditionalFormatting sqref="V29">
    <cfRule type="expression" dxfId="20" priority="2">
      <formula>$DF29="×"</formula>
    </cfRule>
  </conditionalFormatting>
  <conditionalFormatting sqref="AE29:AJ29">
    <cfRule type="expression" dxfId="19" priority="1">
      <formula>$DG29="×"</formula>
    </cfRule>
  </conditionalFormatting>
  <dataValidations count="6">
    <dataValidation type="list" allowBlank="1" showInputMessage="1" sqref="AE10:AJ10" xr:uid="{00000000-0002-0000-0000-000000000000}">
      <formula1>"　,（税抜）,（税込）"</formula1>
    </dataValidation>
    <dataValidation type="list" allowBlank="1" showInputMessage="1" showErrorMessage="1" sqref="G49:H54 G59:H59" xr:uid="{00000000-0002-0000-0000-000001000000}">
      <formula1>"□,☑"</formula1>
    </dataValidation>
    <dataValidation type="textLength" allowBlank="1" showInputMessage="1" showErrorMessage="1" sqref="G11:G30 V11:V30" xr:uid="{00000000-0002-0000-0000-000002000000}">
      <formula1>0</formula1>
      <formula2>100</formula2>
    </dataValidation>
    <dataValidation type="whole" operator="greaterThanOrEqual" allowBlank="1" showInputMessage="1" showErrorMessage="1" sqref="G66:L67 AA65:AE66 G64:L64 AE11:AE34" xr:uid="{00000000-0002-0000-0000-000003000000}">
      <formula1>0</formula1>
    </dataValidation>
    <dataValidation allowBlank="1" showInputMessage="1" showErrorMessage="1" promptTitle="自動判定されます" prompt="計算式が入力してありますので自動判定されます" sqref="AM32:AO32 AN37:AR37 AM36:AM37 AM34:AO34 AN36 AM68" xr:uid="{00000000-0002-0000-0000-000004000000}"/>
    <dataValidation type="whole" imeMode="disabled" operator="greaterThanOrEqual" allowBlank="1" showInputMessage="1" showErrorMessage="1" sqref="AA64:AE64" xr:uid="{00000000-0002-0000-0000-000005000000}">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168" id="{DAF71790-AA58-4A0F-AD30-AA18C21C83E4}">
            <xm:f>AND(A11="⑩設備処分費",ExpenseCategoryList!$U$2="×")</xm:f>
            <x14:dxf>
              <fill>
                <patternFill>
                  <bgColor rgb="FFFF0000"/>
                </patternFill>
              </fill>
            </x14:dxf>
          </x14:cfRule>
          <xm:sqref>AE11</xm:sqref>
        </x14:conditionalFormatting>
        <x14:conditionalFormatting xmlns:xm="http://schemas.microsoft.com/office/excel/2006/main">
          <x14:cfRule type="expression" priority="129" id="{F3CF4CBD-49FC-4002-AA5E-726E743365D4}">
            <xm:f>ExpenseCategoryList!$Y$2="×"</xm:f>
            <x14:dxf>
              <fill>
                <patternFill>
                  <fgColor auto="1"/>
                  <bgColor rgb="FFFF0000"/>
                </patternFill>
              </fill>
            </x14:dxf>
          </x14:cfRule>
          <xm:sqref>G50:H54</xm:sqref>
        </x14:conditionalFormatting>
        <x14:conditionalFormatting xmlns:xm="http://schemas.microsoft.com/office/excel/2006/main">
          <x14:cfRule type="expression" priority="94" id="{B0F73D30-B476-4753-9CDA-327AFB3B45AC}">
            <xm:f>ExpenseCategoryList!$Y$2="×"</xm:f>
            <x14:dxf>
              <fill>
                <patternFill>
                  <fgColor auto="1"/>
                  <bgColor rgb="FFFF0000"/>
                </patternFill>
              </fill>
            </x14:dxf>
          </x14:cfRule>
          <xm:sqref>G49:H49</xm:sqref>
        </x14:conditionalFormatting>
        <x14:conditionalFormatting xmlns:xm="http://schemas.microsoft.com/office/excel/2006/main">
          <x14:cfRule type="expression" priority="79" id="{2BF7CF69-1045-4B13-9266-C3132386E04F}">
            <xm:f>AND(A12="⑩設備処分費",ExpenseCategoryList!$U$2="×")</xm:f>
            <x14:dxf>
              <fill>
                <patternFill>
                  <bgColor rgb="FFFF0000"/>
                </patternFill>
              </fill>
            </x14:dxf>
          </x14:cfRule>
          <xm:sqref>AE12:AE14 AE30</xm:sqref>
        </x14:conditionalFormatting>
        <x14:conditionalFormatting xmlns:xm="http://schemas.microsoft.com/office/excel/2006/main">
          <x14:cfRule type="expression" priority="73" id="{CC6B8803-31FA-42BE-9192-32E92BEB80D5}">
            <xm:f>AND(A15="⑩設備処分費",ExpenseCategoryList!$U$2="×")</xm:f>
            <x14:dxf>
              <fill>
                <patternFill>
                  <bgColor rgb="FFFF0000"/>
                </patternFill>
              </fill>
            </x14:dxf>
          </x14:cfRule>
          <xm:sqref>AE15</xm:sqref>
        </x14:conditionalFormatting>
        <x14:conditionalFormatting xmlns:xm="http://schemas.microsoft.com/office/excel/2006/main">
          <x14:cfRule type="expression" priority="68" id="{91BE1057-35F1-411F-A05F-9F3C45C47B1F}">
            <xm:f>AND(A16="⑩設備処分費",ExpenseCategoryList!$U$2="×")</xm:f>
            <x14:dxf>
              <fill>
                <patternFill>
                  <bgColor rgb="FFFF0000"/>
                </patternFill>
              </fill>
            </x14:dxf>
          </x14:cfRule>
          <xm:sqref>AE16</xm:sqref>
        </x14:conditionalFormatting>
        <x14:conditionalFormatting xmlns:xm="http://schemas.microsoft.com/office/excel/2006/main">
          <x14:cfRule type="expression" priority="63" id="{71D20AE6-F1AF-41A7-B51B-496D7910EA51}">
            <xm:f>AND(A17="⑩設備処分費",ExpenseCategoryList!$U$2="×")</xm:f>
            <x14:dxf>
              <fill>
                <patternFill>
                  <bgColor rgb="FFFF0000"/>
                </patternFill>
              </fill>
            </x14:dxf>
          </x14:cfRule>
          <xm:sqref>AE17</xm:sqref>
        </x14:conditionalFormatting>
        <x14:conditionalFormatting xmlns:xm="http://schemas.microsoft.com/office/excel/2006/main">
          <x14:cfRule type="expression" priority="58" id="{876C33C2-22BB-454D-9355-76809C4078A6}">
            <xm:f>AND(A18="⑩設備処分費",ExpenseCategoryList!$U$2="×")</xm:f>
            <x14:dxf>
              <fill>
                <patternFill>
                  <bgColor rgb="FFFF0000"/>
                </patternFill>
              </fill>
            </x14:dxf>
          </x14:cfRule>
          <xm:sqref>AE18</xm:sqref>
        </x14:conditionalFormatting>
        <x14:conditionalFormatting xmlns:xm="http://schemas.microsoft.com/office/excel/2006/main">
          <x14:cfRule type="expression" priority="53" id="{2CAD692B-8263-4904-94D5-0D2F356D5471}">
            <xm:f>AND(A19="⑩設備処分費",ExpenseCategoryList!$U$2="×")</xm:f>
            <x14:dxf>
              <fill>
                <patternFill>
                  <bgColor rgb="FFFF0000"/>
                </patternFill>
              </fill>
            </x14:dxf>
          </x14:cfRule>
          <xm:sqref>AE19</xm:sqref>
        </x14:conditionalFormatting>
        <x14:conditionalFormatting xmlns:xm="http://schemas.microsoft.com/office/excel/2006/main">
          <x14:cfRule type="expression" priority="48" id="{7B5D7AD1-C2B3-4A3A-A733-05FED3AC930F}">
            <xm:f>AND(A20="⑩設備処分費",ExpenseCategoryList!$U$2="×")</xm:f>
            <x14:dxf>
              <fill>
                <patternFill>
                  <bgColor rgb="FFFF0000"/>
                </patternFill>
              </fill>
            </x14:dxf>
          </x14:cfRule>
          <xm:sqref>AE20</xm:sqref>
        </x14:conditionalFormatting>
        <x14:conditionalFormatting xmlns:xm="http://schemas.microsoft.com/office/excel/2006/main">
          <x14:cfRule type="expression" priority="43" id="{8EA2065C-BF20-4792-898F-6BC3E63BD9BF}">
            <xm:f>AND(A21="⑩設備処分費",ExpenseCategoryList!$U$2="×")</xm:f>
            <x14:dxf>
              <fill>
                <patternFill>
                  <bgColor rgb="FFFF0000"/>
                </patternFill>
              </fill>
            </x14:dxf>
          </x14:cfRule>
          <xm:sqref>AE21</xm:sqref>
        </x14:conditionalFormatting>
        <x14:conditionalFormatting xmlns:xm="http://schemas.microsoft.com/office/excel/2006/main">
          <x14:cfRule type="expression" priority="38" id="{2AAB167C-6553-4F46-9B2F-38A21BCC33AF}">
            <xm:f>AND(A22="⑩設備処分費",ExpenseCategoryList!$U$2="×")</xm:f>
            <x14:dxf>
              <fill>
                <patternFill>
                  <bgColor rgb="FFFF0000"/>
                </patternFill>
              </fill>
            </x14:dxf>
          </x14:cfRule>
          <xm:sqref>AE22</xm:sqref>
        </x14:conditionalFormatting>
        <x14:conditionalFormatting xmlns:xm="http://schemas.microsoft.com/office/excel/2006/main">
          <x14:cfRule type="expression" priority="33" id="{F598E2AC-20E9-43B6-BA16-FEC1B22C15F0}">
            <xm:f>AND(A23="⑩設備処分費",ExpenseCategoryList!$U$2="×")</xm:f>
            <x14:dxf>
              <fill>
                <patternFill>
                  <bgColor rgb="FFFF0000"/>
                </patternFill>
              </fill>
            </x14:dxf>
          </x14:cfRule>
          <xm:sqref>AE23</xm:sqref>
        </x14:conditionalFormatting>
        <x14:conditionalFormatting xmlns:xm="http://schemas.microsoft.com/office/excel/2006/main">
          <x14:cfRule type="expression" priority="28" id="{B54D5946-C25B-4C09-91D2-967411BBB3DA}">
            <xm:f>AND(A24="⑩設備処分費",ExpenseCategoryList!$U$2="×")</xm:f>
            <x14:dxf>
              <fill>
                <patternFill>
                  <bgColor rgb="FFFF0000"/>
                </patternFill>
              </fill>
            </x14:dxf>
          </x14:cfRule>
          <xm:sqref>AE24</xm:sqref>
        </x14:conditionalFormatting>
        <x14:conditionalFormatting xmlns:xm="http://schemas.microsoft.com/office/excel/2006/main">
          <x14:cfRule type="expression" priority="23" id="{F12ECFE1-0536-42FF-861A-B5292E787CB5}">
            <xm:f>AND(A25="⑩設備処分費",ExpenseCategoryList!$U$2="×")</xm:f>
            <x14:dxf>
              <fill>
                <patternFill>
                  <bgColor rgb="FFFF0000"/>
                </patternFill>
              </fill>
            </x14:dxf>
          </x14:cfRule>
          <xm:sqref>AE25</xm:sqref>
        </x14:conditionalFormatting>
        <x14:conditionalFormatting xmlns:xm="http://schemas.microsoft.com/office/excel/2006/main">
          <x14:cfRule type="expression" priority="18" id="{C81B9E7C-B44D-4C31-A696-D156E875FE52}">
            <xm:f>AND(A26="⑩設備処分費",ExpenseCategoryList!$U$2="×")</xm:f>
            <x14:dxf>
              <fill>
                <patternFill>
                  <bgColor rgb="FFFF0000"/>
                </patternFill>
              </fill>
            </x14:dxf>
          </x14:cfRule>
          <xm:sqref>AE26</xm:sqref>
        </x14:conditionalFormatting>
        <x14:conditionalFormatting xmlns:xm="http://schemas.microsoft.com/office/excel/2006/main">
          <x14:cfRule type="expression" priority="13" id="{6A0CF1E1-EB06-489B-9C1A-6EF67766C291}">
            <xm:f>AND(A27="⑩設備処分費",ExpenseCategoryList!$U$2="×")</xm:f>
            <x14:dxf>
              <fill>
                <patternFill>
                  <bgColor rgb="FFFF0000"/>
                </patternFill>
              </fill>
            </x14:dxf>
          </x14:cfRule>
          <xm:sqref>AE27</xm:sqref>
        </x14:conditionalFormatting>
        <x14:conditionalFormatting xmlns:xm="http://schemas.microsoft.com/office/excel/2006/main">
          <x14:cfRule type="expression" priority="8" id="{1283A4BA-2117-4020-99F9-05CCBAD27A9A}">
            <xm:f>AND(A28="⑩設備処分費",ExpenseCategoryList!$U$2="×")</xm:f>
            <x14:dxf>
              <fill>
                <patternFill>
                  <bgColor rgb="FFFF0000"/>
                </patternFill>
              </fill>
            </x14:dxf>
          </x14:cfRule>
          <xm:sqref>AE28</xm:sqref>
        </x14:conditionalFormatting>
        <x14:conditionalFormatting xmlns:xm="http://schemas.microsoft.com/office/excel/2006/main">
          <x14:cfRule type="expression" priority="3" id="{39D4C496-8017-4C44-9AD9-824BD846E72A}">
            <xm:f>AND(A29="⑩設備処分費",ExpenseCategoryList!$U$2="×")</xm:f>
            <x14:dxf>
              <fill>
                <patternFill>
                  <bgColor rgb="FFFF0000"/>
                </patternFill>
              </fill>
            </x14:dxf>
          </x14:cfRule>
          <xm:sqref>AE29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ExpenseCategoryList!$B$2:$B$12</xm:f>
          </x14:formula1>
          <xm:sqref>A11:F30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topLeftCell="C1" workbookViewId="0">
      <selection activeCell="J22" sqref="J22"/>
    </sheetView>
  </sheetViews>
  <sheetFormatPr defaultRowHeight="13.5" x14ac:dyDescent="0.15"/>
  <cols>
    <col min="1" max="1" width="3.5" customWidth="1"/>
    <col min="2" max="2" width="15.5" customWidth="1"/>
    <col min="3" max="3" width="9.625" customWidth="1"/>
    <col min="4" max="4" width="18" bestFit="1" customWidth="1"/>
    <col min="5" max="5" width="10.5" customWidth="1"/>
    <col min="6" max="6" width="17.625" customWidth="1"/>
    <col min="7" max="7" width="18.375" bestFit="1" customWidth="1"/>
    <col min="8" max="8" width="20" customWidth="1"/>
    <col min="9" max="9" width="19.375" customWidth="1"/>
    <col min="10" max="10" width="17.75" customWidth="1"/>
    <col min="11" max="11" width="18" customWidth="1"/>
    <col min="12" max="12" width="19.25" customWidth="1"/>
    <col min="13" max="13" width="13.5" customWidth="1"/>
    <col min="14" max="14" width="20.5" customWidth="1"/>
    <col min="15" max="15" width="11.125" customWidth="1"/>
    <col min="16" max="17" width="16.125" customWidth="1"/>
    <col min="18" max="18" width="13.875" customWidth="1"/>
    <col min="19" max="25" width="12.5" customWidth="1"/>
  </cols>
  <sheetData>
    <row r="1" spans="1:25" s="60" customFormat="1" ht="53.1" customHeight="1" x14ac:dyDescent="0.15">
      <c r="A1" s="30" t="s">
        <v>10</v>
      </c>
      <c r="B1" s="30" t="s">
        <v>11</v>
      </c>
      <c r="C1" s="30" t="s">
        <v>131</v>
      </c>
      <c r="D1" s="30" t="s">
        <v>56</v>
      </c>
      <c r="E1" s="141" t="s">
        <v>26</v>
      </c>
      <c r="F1" s="30" t="s">
        <v>63</v>
      </c>
      <c r="G1" s="30" t="s">
        <v>57</v>
      </c>
      <c r="H1" s="58" t="s">
        <v>88</v>
      </c>
      <c r="I1" s="30" t="s">
        <v>61</v>
      </c>
      <c r="J1" s="30" t="s">
        <v>62</v>
      </c>
      <c r="K1" s="30" t="s">
        <v>54</v>
      </c>
      <c r="L1" s="30" t="s">
        <v>58</v>
      </c>
      <c r="M1" s="30" t="s">
        <v>55</v>
      </c>
      <c r="N1" s="30" t="s">
        <v>59</v>
      </c>
      <c r="O1" s="30" t="s">
        <v>60</v>
      </c>
      <c r="P1" s="30" t="s">
        <v>53</v>
      </c>
      <c r="Q1" s="30" t="s">
        <v>48</v>
      </c>
      <c r="R1" s="58" t="s">
        <v>68</v>
      </c>
      <c r="S1" s="30" t="s">
        <v>27</v>
      </c>
      <c r="T1" s="59" t="s">
        <v>49</v>
      </c>
      <c r="U1" s="30" t="s">
        <v>50</v>
      </c>
      <c r="V1" s="141" t="s">
        <v>70</v>
      </c>
      <c r="W1" s="141" t="s">
        <v>72</v>
      </c>
      <c r="X1" s="30" t="s">
        <v>71</v>
      </c>
      <c r="Y1" s="30" t="s">
        <v>73</v>
      </c>
    </row>
    <row r="2" spans="1:25" x14ac:dyDescent="0.15">
      <c r="A2" s="1">
        <v>1</v>
      </c>
      <c r="B2" s="1" t="s">
        <v>20</v>
      </c>
      <c r="C2" s="1">
        <v>1</v>
      </c>
      <c r="D2" s="1">
        <f>SUM(補助事業計画書②!AE31+補助事業計画書②!AE33)</f>
        <v>627000</v>
      </c>
      <c r="E2" s="56">
        <f>IF(OR(補助事業計画書②!G50="☑",
       補助事業計画書②!G51="☑",
       補助事業計画書②!G52="☑",
       補助事業計画書②!G53="☑",
       補助事業計画書②!G54="☑"),
       IF(補助事業計画書②!G59="☑",2500000,2000000),
       IF(補助事業計画書②!G59="☑",1000000,500000)
    )</f>
        <v>500000</v>
      </c>
      <c r="F2" s="1">
        <f>IF(補助事業計画書②!G51="☑",ROUNDDOWN(補助事業計画書②!AE35*3/4,0),ROUNDDOWN(補助事業計画書②!AE35*2/3,0))</f>
        <v>418000</v>
      </c>
      <c r="G2" s="1">
        <f>IF(F2&gt;E2,E2,F2)</f>
        <v>418000</v>
      </c>
      <c r="H2" s="72">
        <f>G33</f>
        <v>418000</v>
      </c>
      <c r="I2" s="1">
        <f>IF(補助事業計画書②!G51="☑",ROUNDDOWN(補助事業計画書②!AE31*3/4,0),ROUNDDOWN(補助事業計画書②!AE31*2/3,0))</f>
        <v>418000</v>
      </c>
      <c r="J2" s="1">
        <f>H2-O2</f>
        <v>418000</v>
      </c>
      <c r="K2" s="56">
        <f>SUMIF(補助事業計画書②!A11:A30,"&lt;&gt;③ウェブサイト関連費",補助事業計画書②!AE11:AE30)</f>
        <v>627000</v>
      </c>
      <c r="L2" s="1">
        <f>IF(補助事業計画書②!G51="☑",ROUNDDOWN(補助事業計画書②!AE33*3/4,0),ROUNDDOWN(補助事業計画書②!AE33*2/3,0))</f>
        <v>0</v>
      </c>
      <c r="M2" s="1">
        <f>ROUNDDOWN(H2/4,0)</f>
        <v>104500</v>
      </c>
      <c r="N2" s="1">
        <f>IF(M2&gt;500000,500000,M2)</f>
        <v>104500</v>
      </c>
      <c r="O2" s="1">
        <f>IF(N2&gt;L2,L2,N2)</f>
        <v>0</v>
      </c>
      <c r="P2" s="15" t="str">
        <f>IF(L2&lt;=N2,"○","×")</f>
        <v>○</v>
      </c>
      <c r="Q2" s="56">
        <f>SUMIF(補助事業計画書②!A11:A30,"③ウェブサイト関連費",補助事業計画書②!AE11:AE30)</f>
        <v>0</v>
      </c>
      <c r="R2" s="71" t="str">
        <f>IF(補助事業計画書②!AE32="","いいえ",IF(補助事業計画書②!AE32=0,"いいえ",IF(補助事業計画書②!AE36&lt;補助事業計画書②!AE34*4,"いいえ","はい")))</f>
        <v>いいえ</v>
      </c>
      <c r="S2" s="1">
        <f>ROUNDDOWN(補助事業計画書②!AE35/2,0)</f>
        <v>313500</v>
      </c>
      <c r="T2" s="1">
        <f>SUMIF(補助事業計画書②!A:A,"⑩設備処分費",補助事業計画書②!AE:AE)</f>
        <v>0</v>
      </c>
      <c r="U2" s="15" t="str">
        <f>IF(T2&lt;=S2,"○","×")</f>
        <v>○</v>
      </c>
      <c r="V2" s="140" t="str">
        <f>IF((COUNTIF(補助事業計画書②!G49,"=☑")+
     COUNTIF(補助事業計画書②!G50,"=☑")+
     COUNTIF(補助事業計画書②!G51,"=☑")+
     COUNTIF(補助事業計画書②!G52,"=☑")+
     COUNTIF(補助事業計画書②!G53,"=☑")+
     COUNTIF(補助事業計画書②!G54,"=☑")=0),"×","○")</f>
        <v>×</v>
      </c>
      <c r="W2" s="140" t="str">
        <f>IF(補助事業計画書②!G51="☑",
    IF((COUNTIF(補助事業計画書②!G49,"=☑")+
        COUNTIF(補助事業計画書②!G50,"=☑")+
        COUNTIF(補助事業計画書②!G51,"=☑")+
        COUNTIF(補助事業計画書②!G52,"=☑")+
        COUNTIF(補助事業計画書②!G53,"=☑")+
        COUNTIF(補助事業計画書②!G54,"=☑")=2),"○","×"),
    IF((COUNTIF(補助事業計画書②!G49,"=☑")+
        COUNTIF(補助事業計画書②!G50,"=☑")+
        COUNTIF(補助事業計画書②!G51,"=☑")+
        COUNTIF(補助事業計画書②!G52,"=☑")+
        COUNTIF(補助事業計画書②!G53,"=☑")+
        COUNTIF(補助事業計画書②!G54,"=☑")=1),"○","×")
   )</f>
        <v>×</v>
      </c>
      <c r="X2" s="15" t="str">
        <f>IF(補助事業計画書②!G51="☑",IF(補助事業計画書②!G50="☑","○","×"),"○")</f>
        <v>○</v>
      </c>
      <c r="Y2" s="15" t="str">
        <f>IF(AND(V2="○",W2="○",X2="○"),"○","×")</f>
        <v>×</v>
      </c>
    </row>
    <row r="3" spans="1:25" x14ac:dyDescent="0.15">
      <c r="A3" s="1">
        <v>2</v>
      </c>
      <c r="B3" s="1" t="s">
        <v>9</v>
      </c>
      <c r="C3" s="1">
        <v>1</v>
      </c>
      <c r="G3" t="s">
        <v>92</v>
      </c>
      <c r="I3" t="s">
        <v>93</v>
      </c>
      <c r="J3" t="s">
        <v>94</v>
      </c>
      <c r="K3" t="s">
        <v>95</v>
      </c>
      <c r="L3" t="s">
        <v>96</v>
      </c>
      <c r="M3" t="s">
        <v>97</v>
      </c>
      <c r="V3" s="70"/>
      <c r="W3" s="70"/>
      <c r="X3" s="70"/>
      <c r="Y3" s="70"/>
    </row>
    <row r="4" spans="1:25" x14ac:dyDescent="0.15">
      <c r="A4" s="1">
        <v>3</v>
      </c>
      <c r="B4" s="1" t="s">
        <v>38</v>
      </c>
      <c r="C4" s="1">
        <v>1</v>
      </c>
      <c r="U4" s="17"/>
    </row>
    <row r="5" spans="1:25" x14ac:dyDescent="0.15">
      <c r="A5" s="1">
        <v>4</v>
      </c>
      <c r="B5" s="1" t="s">
        <v>39</v>
      </c>
      <c r="C5" s="75">
        <v>1</v>
      </c>
      <c r="D5" s="76"/>
      <c r="E5" s="77"/>
      <c r="F5" s="77"/>
      <c r="G5" s="77"/>
      <c r="H5" s="77"/>
      <c r="I5" s="77"/>
      <c r="J5" s="77"/>
      <c r="K5" s="77"/>
      <c r="L5" s="77"/>
      <c r="M5" s="77"/>
      <c r="N5" s="77"/>
      <c r="O5" s="77"/>
      <c r="P5" s="77"/>
      <c r="Q5" s="78"/>
      <c r="U5" s="17"/>
    </row>
    <row r="6" spans="1:25" x14ac:dyDescent="0.15">
      <c r="A6" s="1">
        <v>5</v>
      </c>
      <c r="B6" s="1" t="s">
        <v>40</v>
      </c>
      <c r="C6" s="75">
        <v>1</v>
      </c>
      <c r="D6" s="95" t="s">
        <v>109</v>
      </c>
      <c r="E6" s="94"/>
      <c r="G6" s="80"/>
      <c r="H6" s="80"/>
      <c r="I6" s="80"/>
      <c r="J6" s="44"/>
      <c r="K6" s="44"/>
      <c r="Q6" s="81"/>
    </row>
    <row r="7" spans="1:25" x14ac:dyDescent="0.15">
      <c r="A7" s="1">
        <v>6</v>
      </c>
      <c r="B7" s="1" t="s">
        <v>41</v>
      </c>
      <c r="C7" s="75">
        <v>1</v>
      </c>
      <c r="D7" s="79"/>
      <c r="E7" s="44"/>
      <c r="F7" s="44"/>
      <c r="G7" s="80"/>
      <c r="H7" s="80"/>
      <c r="I7" s="44"/>
      <c r="J7" s="44"/>
      <c r="K7" s="44"/>
      <c r="L7" s="44" t="s">
        <v>89</v>
      </c>
      <c r="M7" s="44"/>
      <c r="N7" s="44" t="s">
        <v>89</v>
      </c>
      <c r="O7" s="44"/>
      <c r="P7" s="44"/>
      <c r="Q7" s="81"/>
    </row>
    <row r="8" spans="1:25" x14ac:dyDescent="0.15">
      <c r="A8" s="1">
        <v>7</v>
      </c>
      <c r="B8" s="1" t="s">
        <v>42</v>
      </c>
      <c r="C8" s="75">
        <v>1</v>
      </c>
      <c r="D8" s="79"/>
      <c r="E8" s="44" t="s">
        <v>77</v>
      </c>
      <c r="F8" s="45"/>
      <c r="G8" s="80" t="s">
        <v>90</v>
      </c>
      <c r="H8" s="80" t="str">
        <f>IF(補助事業計画書②!G51="☑","3/4","2/3")</f>
        <v>2/3</v>
      </c>
      <c r="I8" s="44"/>
      <c r="J8" s="44"/>
      <c r="K8" s="44"/>
      <c r="L8" s="44" t="s">
        <v>75</v>
      </c>
      <c r="M8" s="44"/>
      <c r="N8" s="44" t="s">
        <v>76</v>
      </c>
      <c r="O8" s="44"/>
      <c r="P8" s="44"/>
      <c r="Q8" s="81"/>
    </row>
    <row r="9" spans="1:25" x14ac:dyDescent="0.15">
      <c r="A9" s="1">
        <v>8</v>
      </c>
      <c r="B9" s="1" t="s">
        <v>43</v>
      </c>
      <c r="C9" s="75">
        <v>1</v>
      </c>
      <c r="D9" s="79"/>
      <c r="E9" s="44"/>
      <c r="F9" s="44"/>
      <c r="G9" s="80" t="s">
        <v>91</v>
      </c>
      <c r="H9" s="82" t="str">
        <f xml:space="preserve">  "(1)×補助率 " &amp; H8 &amp;"(※)以内(円未満切捨て)"</f>
        <v>(1)×補助率 2/3(※)以内(円未満切捨て)</v>
      </c>
      <c r="I9" s="44"/>
      <c r="J9" s="44"/>
      <c r="K9" s="44"/>
      <c r="L9" s="44"/>
      <c r="M9" s="44"/>
      <c r="N9" s="44"/>
      <c r="O9" s="44"/>
      <c r="P9" s="44"/>
      <c r="Q9" s="81"/>
    </row>
    <row r="10" spans="1:25" x14ac:dyDescent="0.15">
      <c r="A10" s="1">
        <v>9</v>
      </c>
      <c r="B10" s="1" t="s">
        <v>44</v>
      </c>
      <c r="C10" s="75">
        <v>1</v>
      </c>
      <c r="D10" s="79"/>
      <c r="E10" s="44"/>
      <c r="F10" s="44"/>
      <c r="G10" s="80" t="s">
        <v>91</v>
      </c>
      <c r="H10" s="83" t="str">
        <f>"((6)の1/4を上限(最大50万円))、(c)×補助率 " &amp; H8 &amp; " (※)以内(円未満切捨て)"</f>
        <v>((6)の1/4を上限(最大50万円))、(c)×補助率 2/3 (※)以内(円未満切捨て)</v>
      </c>
      <c r="I10" s="80"/>
      <c r="J10" s="44"/>
      <c r="K10" s="44"/>
      <c r="L10" s="44"/>
      <c r="M10" s="44"/>
      <c r="N10" s="44" t="s">
        <v>78</v>
      </c>
      <c r="O10" s="44"/>
      <c r="P10" s="44" t="s">
        <v>79</v>
      </c>
      <c r="Q10" s="81"/>
    </row>
    <row r="11" spans="1:25" ht="13.15" customHeight="1" x14ac:dyDescent="0.15">
      <c r="A11" s="1">
        <v>10</v>
      </c>
      <c r="B11" s="1" t="s">
        <v>45</v>
      </c>
      <c r="C11" s="75">
        <v>2</v>
      </c>
      <c r="D11" s="79"/>
      <c r="E11" s="269" t="s">
        <v>128</v>
      </c>
      <c r="F11" s="46" t="s">
        <v>173</v>
      </c>
      <c r="G11" s="103" t="str">
        <f>IF(補助事業計画書②!G51="☑","a*3/4","a*2/3")</f>
        <v>a*2/3</v>
      </c>
      <c r="H11" s="52" t="str">
        <f>"(" &amp; IF(補助事業計画書②!G51="☑","a*3/4","a*2/3") &amp; ") /3"</f>
        <v>(a*2/3) /3</v>
      </c>
      <c r="I11" s="47" t="s">
        <v>80</v>
      </c>
      <c r="J11" s="44"/>
      <c r="K11" s="44"/>
      <c r="L11" s="47" t="s">
        <v>81</v>
      </c>
      <c r="M11" s="44"/>
      <c r="N11" s="47" t="s">
        <v>81</v>
      </c>
      <c r="O11" s="265" t="s">
        <v>82</v>
      </c>
      <c r="P11" s="47" t="s">
        <v>81</v>
      </c>
      <c r="Q11" s="81"/>
    </row>
    <row r="12" spans="1:25" x14ac:dyDescent="0.15">
      <c r="A12" s="1">
        <v>11</v>
      </c>
      <c r="B12" s="1" t="s">
        <v>46</v>
      </c>
      <c r="C12" s="75">
        <v>1</v>
      </c>
      <c r="D12" s="79">
        <v>12</v>
      </c>
      <c r="E12" s="269"/>
      <c r="F12" s="266">
        <f>K2</f>
        <v>627000</v>
      </c>
      <c r="G12" s="50">
        <f>IF(補助事業計画書②!G51="☑",ROUNDDOWN(F12*3/4,0),ROUNDDOWN(F12*2/3,0))</f>
        <v>418000</v>
      </c>
      <c r="H12" s="49">
        <f>ROUNDDOWN(G12/3,0)</f>
        <v>139333</v>
      </c>
      <c r="I12" s="49">
        <f>G12</f>
        <v>418000</v>
      </c>
      <c r="J12" s="84"/>
      <c r="K12" s="84"/>
      <c r="L12" s="49">
        <f>IF(I20&lt;=G20,I12,"")</f>
        <v>418000</v>
      </c>
      <c r="M12" s="44"/>
      <c r="N12" s="49" t="str">
        <f>IF(I20&lt;=G20,"",IF(I12&gt;G20,G20,I12))</f>
        <v/>
      </c>
      <c r="O12" s="265"/>
      <c r="P12" s="49" t="str">
        <f>IF(I20&lt;=G20,"",G20-P16)</f>
        <v/>
      </c>
      <c r="Q12" s="81"/>
    </row>
    <row r="13" spans="1:25" x14ac:dyDescent="0.15">
      <c r="D13" s="79">
        <v>13</v>
      </c>
      <c r="E13" s="269"/>
      <c r="F13" s="266"/>
      <c r="G13" s="109"/>
      <c r="H13" s="107">
        <f>ROUNDDOWN(G12/3,3)</f>
        <v>139333.33300000001</v>
      </c>
      <c r="I13" s="49"/>
      <c r="J13" s="84"/>
      <c r="K13" s="84"/>
      <c r="L13" s="49"/>
      <c r="M13" s="44"/>
      <c r="N13" s="49"/>
      <c r="O13" s="265"/>
      <c r="P13" s="49"/>
      <c r="Q13" s="81"/>
    </row>
    <row r="14" spans="1:25" x14ac:dyDescent="0.15">
      <c r="D14" s="79">
        <v>14</v>
      </c>
      <c r="E14" s="269"/>
      <c r="F14" s="266"/>
      <c r="G14" s="109">
        <f>IF(補助事業計画書②!G51="☑",ROUNDDOWN(F12*3/4,3),ROUNDDOWN(F12*2/3,3)) - G12</f>
        <v>0</v>
      </c>
      <c r="H14" s="107">
        <f>ROUNDDOWN(G12/3,3) - H12</f>
        <v>0.33300000001327135</v>
      </c>
      <c r="I14" s="107">
        <f>G14</f>
        <v>0</v>
      </c>
      <c r="J14" s="84"/>
      <c r="K14" s="84"/>
      <c r="L14" s="49"/>
      <c r="M14" s="44"/>
      <c r="N14" s="49"/>
      <c r="O14" s="265"/>
      <c r="P14" s="49"/>
      <c r="Q14" s="81"/>
    </row>
    <row r="15" spans="1:25" ht="28.15" customHeight="1" x14ac:dyDescent="0.15">
      <c r="D15" s="79">
        <v>15</v>
      </c>
      <c r="E15" s="267" t="s">
        <v>127</v>
      </c>
      <c r="F15" s="51" t="s">
        <v>172</v>
      </c>
      <c r="G15" s="48" t="str">
        <f>IF(補助事業計画書②!G51="☑","c*3/4","c*2/3")</f>
        <v>c*2/3</v>
      </c>
      <c r="H15" s="52" t="str">
        <f>IF(補助事業計画書②!G51="☑","a*1/4","a*2/9")</f>
        <v>a*2/9</v>
      </c>
      <c r="I15" s="147" t="s">
        <v>179</v>
      </c>
      <c r="J15" s="52" t="s">
        <v>83</v>
      </c>
      <c r="K15" s="44"/>
      <c r="L15" s="52" t="s">
        <v>84</v>
      </c>
      <c r="M15" s="44"/>
      <c r="N15" s="52" t="s">
        <v>84</v>
      </c>
      <c r="O15" s="265"/>
      <c r="P15" s="52" t="s">
        <v>84</v>
      </c>
      <c r="Q15" s="81"/>
    </row>
    <row r="16" spans="1:25" x14ac:dyDescent="0.15">
      <c r="D16" s="79">
        <v>16</v>
      </c>
      <c r="E16" s="268"/>
      <c r="F16" s="266">
        <f>Q2</f>
        <v>0</v>
      </c>
      <c r="G16" s="50">
        <f>IF(補助事業計画書②!G51="☑",ROUNDDOWN(F16*3/4,0),ROUNDDOWN(F16*2/3,0))</f>
        <v>0</v>
      </c>
      <c r="H16" s="115">
        <f>IF(補助事業計画書②!G51="☑",ROUNDDOWN(F12*1/4,0),ROUNDDOWN(F12*2/9,0))</f>
        <v>139333</v>
      </c>
      <c r="I16" s="49">
        <f>IF(J16&lt;500000,J16,500000)</f>
        <v>0</v>
      </c>
      <c r="J16" s="49">
        <f>IF(IF(G16&gt;H12,H12,G16)&gt;H20,H20,IF(G16&gt;H12,H12,G16))</f>
        <v>0</v>
      </c>
      <c r="K16" s="84"/>
      <c r="L16" s="49">
        <f>IF(I20&lt;=G20,I16,"")</f>
        <v>0</v>
      </c>
      <c r="M16" t="str">
        <f>IF(L16="","",IF(L16*4&gt;L20,"×","〇"))</f>
        <v>〇</v>
      </c>
      <c r="N16" s="49" t="str">
        <f>IF(I20&lt;=G20,"",G20-N12)</f>
        <v/>
      </c>
      <c r="O16" s="265"/>
      <c r="P16" s="49" t="str">
        <f>IF(I20&lt;=G20,"",IF(ROUNDDOWN(G20/4,0)&gt;I16,I16,ROUNDDOWN(G20/4,0)))</f>
        <v/>
      </c>
      <c r="Q16" s="81"/>
    </row>
    <row r="17" spans="4:17" x14ac:dyDescent="0.15">
      <c r="D17" s="79">
        <v>17</v>
      </c>
      <c r="E17" s="268"/>
      <c r="F17" s="266"/>
      <c r="G17" s="109">
        <f>IF(補助事業計画書②!G51="☑",ROUNDDOWN(F16*3/4,3),ROUNDDOWN(F16*2/3,3))</f>
        <v>0</v>
      </c>
      <c r="H17" s="116">
        <f>IF(補助事業計画書②!G51="☑",ROUNDDOWN(F12*1/4,3),ROUNDDOWN(F12*2/9,3))</f>
        <v>139333.33300000001</v>
      </c>
      <c r="I17" s="107">
        <f>IF(J16&lt;500000,J17,500000)</f>
        <v>0</v>
      </c>
      <c r="J17" s="107">
        <f>IF(IF(G17&gt;H13,H13,G17)&gt;H21,H21,IF(G17&gt;H13,H13,G17))</f>
        <v>0</v>
      </c>
      <c r="K17" s="84"/>
      <c r="L17" s="49"/>
      <c r="N17" s="49"/>
      <c r="O17" s="265"/>
      <c r="P17" s="49"/>
      <c r="Q17" s="81"/>
    </row>
    <row r="18" spans="4:17" x14ac:dyDescent="0.15">
      <c r="D18" s="79">
        <v>18</v>
      </c>
      <c r="E18" s="268"/>
      <c r="F18" s="266"/>
      <c r="G18" s="109">
        <f>IF(補助事業計画書②!G51="☑",ROUNDDOWN(F16*3/4,3),ROUNDDOWN(F16*2/3,3))-G16</f>
        <v>0</v>
      </c>
      <c r="H18" s="116">
        <f>IF(補助事業計画書②!G51="☑",ROUNDDOWN(F12*1/4,3),ROUNDDOWN(F12*2/9,3)) - H16</f>
        <v>0.33300000001327135</v>
      </c>
      <c r="I18" s="107">
        <f>IF(J16&lt;500000,J18,0)</f>
        <v>0</v>
      </c>
      <c r="J18" s="107">
        <f>IF(IF(G17&gt;H13,H13,G17)&gt;H21,H22,IF(G17&gt;H13,H14,G18))</f>
        <v>0</v>
      </c>
      <c r="K18" s="84"/>
      <c r="L18" s="49"/>
      <c r="N18" s="49"/>
      <c r="O18" s="265"/>
      <c r="P18" s="49"/>
      <c r="Q18" s="81"/>
    </row>
    <row r="19" spans="4:17" x14ac:dyDescent="0.15">
      <c r="D19" s="79">
        <v>19</v>
      </c>
      <c r="E19" s="44"/>
      <c r="F19" s="44"/>
      <c r="G19" s="104" t="s">
        <v>175</v>
      </c>
      <c r="H19" s="52" t="s">
        <v>85</v>
      </c>
      <c r="I19" s="105" t="s">
        <v>86</v>
      </c>
      <c r="J19" s="146" t="s">
        <v>87</v>
      </c>
      <c r="K19" s="44"/>
      <c r="L19" s="53" t="s">
        <v>87</v>
      </c>
      <c r="M19" s="44"/>
      <c r="N19" s="53" t="s">
        <v>87</v>
      </c>
      <c r="O19" s="265"/>
      <c r="P19" s="53" t="s">
        <v>87</v>
      </c>
      <c r="Q19" s="81"/>
    </row>
    <row r="20" spans="4:17" x14ac:dyDescent="0.15">
      <c r="D20" s="79">
        <v>20</v>
      </c>
      <c r="E20" s="44"/>
      <c r="F20" s="44"/>
      <c r="G20" s="266">
        <f>E2</f>
        <v>500000</v>
      </c>
      <c r="H20" s="54">
        <f>ROUNDDOWN(G20/4,0)</f>
        <v>125000</v>
      </c>
      <c r="I20" s="106">
        <f>I12+I16</f>
        <v>418000</v>
      </c>
      <c r="J20" s="114">
        <f>IF(G20&gt;I20+J22,I20+J22,G20)</f>
        <v>418000</v>
      </c>
      <c r="K20" s="55"/>
      <c r="L20" s="49">
        <f>IF(I20&lt;=G20,I20,"")</f>
        <v>418000</v>
      </c>
      <c r="M20" s="44"/>
      <c r="N20" s="49" t="str">
        <f>IF(I20&lt;=G20,"",N12+N16)</f>
        <v/>
      </c>
      <c r="O20" s="265"/>
      <c r="P20" s="49" t="str">
        <f>IF(I20&lt;=G20,"",P12+P16)</f>
        <v/>
      </c>
      <c r="Q20" s="81"/>
    </row>
    <row r="21" spans="4:17" x14ac:dyDescent="0.15">
      <c r="D21" s="79">
        <v>21</v>
      </c>
      <c r="E21" s="44"/>
      <c r="F21" s="44"/>
      <c r="G21" s="266"/>
      <c r="H21" s="108">
        <f>ROUNDDOWN(G20/4,3)</f>
        <v>125000</v>
      </c>
      <c r="I21" s="133"/>
      <c r="J21" s="98"/>
      <c r="K21" s="55"/>
      <c r="L21" s="80"/>
      <c r="M21" s="44"/>
      <c r="N21" s="80"/>
      <c r="O21" s="102"/>
      <c r="P21" s="80"/>
      <c r="Q21" s="81"/>
    </row>
    <row r="22" spans="4:17" x14ac:dyDescent="0.15">
      <c r="D22" s="79">
        <v>22</v>
      </c>
      <c r="E22" s="44"/>
      <c r="F22" s="44"/>
      <c r="G22" s="266"/>
      <c r="H22" s="108">
        <f>ROUNDDOWN(G20/4,3) - H20</f>
        <v>0</v>
      </c>
      <c r="I22" s="110">
        <f>I14+I18</f>
        <v>0</v>
      </c>
      <c r="J22" s="145">
        <f>IF(I20&lt;G20,IF(I22&gt;=1,1,0),0)</f>
        <v>0</v>
      </c>
      <c r="K22" s="55" t="s">
        <v>129</v>
      </c>
      <c r="L22" s="80"/>
      <c r="M22" s="44"/>
      <c r="N22" s="80"/>
      <c r="O22" s="102"/>
      <c r="P22" s="80"/>
      <c r="Q22" s="81"/>
    </row>
    <row r="23" spans="4:17" x14ac:dyDescent="0.15">
      <c r="D23" s="79">
        <v>23</v>
      </c>
      <c r="E23" s="86"/>
      <c r="F23" s="86"/>
      <c r="G23" s="87"/>
      <c r="H23" s="87"/>
      <c r="I23" s="87"/>
      <c r="J23" s="86"/>
      <c r="K23" s="86"/>
      <c r="L23" s="86"/>
      <c r="M23" s="86"/>
      <c r="N23" s="86"/>
      <c r="O23" s="86"/>
      <c r="P23" s="86"/>
      <c r="Q23" s="88"/>
    </row>
    <row r="24" spans="4:17" x14ac:dyDescent="0.15">
      <c r="D24" s="76"/>
      <c r="E24" s="89"/>
      <c r="F24" s="89"/>
      <c r="G24" s="90"/>
      <c r="H24" s="90"/>
      <c r="I24" s="90"/>
      <c r="J24" s="89"/>
      <c r="K24" s="91"/>
      <c r="L24" s="44"/>
      <c r="M24" s="44"/>
      <c r="N24" s="44"/>
      <c r="O24" s="44"/>
      <c r="P24" s="44"/>
    </row>
    <row r="25" spans="4:17" x14ac:dyDescent="0.15">
      <c r="D25" s="95" t="s">
        <v>110</v>
      </c>
      <c r="F25" s="44"/>
      <c r="G25" s="44"/>
      <c r="H25" s="80"/>
      <c r="I25" s="80"/>
      <c r="J25" s="80"/>
      <c r="K25" s="96"/>
      <c r="L25" s="44"/>
      <c r="M25" s="44"/>
      <c r="N25" s="44"/>
      <c r="O25" s="44"/>
      <c r="P25" s="44"/>
      <c r="Q25" s="44"/>
    </row>
    <row r="26" spans="4:17" x14ac:dyDescent="0.15">
      <c r="D26" s="95"/>
      <c r="F26" s="44"/>
      <c r="G26" s="44"/>
      <c r="H26" s="80"/>
      <c r="I26" s="80"/>
      <c r="J26" s="80"/>
      <c r="K26" s="96"/>
      <c r="L26" s="44"/>
      <c r="M26" s="44"/>
      <c r="N26" s="44"/>
      <c r="O26" s="44"/>
      <c r="P26" s="44"/>
      <c r="Q26" s="44"/>
    </row>
    <row r="27" spans="4:17" x14ac:dyDescent="0.15">
      <c r="D27" s="79"/>
      <c r="E27" s="37" t="s">
        <v>69</v>
      </c>
      <c r="F27" s="44"/>
      <c r="G27" s="44" t="s">
        <v>78</v>
      </c>
      <c r="H27" s="44"/>
      <c r="I27" s="44" t="s">
        <v>79</v>
      </c>
      <c r="J27" s="80"/>
      <c r="K27" s="96"/>
      <c r="L27" s="44"/>
      <c r="M27" s="44"/>
      <c r="N27" s="44"/>
      <c r="O27" s="44"/>
      <c r="P27" s="44"/>
      <c r="Q27" s="44"/>
    </row>
    <row r="28" spans="4:17" x14ac:dyDescent="0.15">
      <c r="D28" s="79"/>
      <c r="E28" s="47" t="s">
        <v>81</v>
      </c>
      <c r="F28" s="44"/>
      <c r="G28" s="47" t="s">
        <v>81</v>
      </c>
      <c r="H28" s="265" t="s">
        <v>82</v>
      </c>
      <c r="I28" s="47" t="s">
        <v>81</v>
      </c>
      <c r="J28" s="80"/>
      <c r="K28" s="96"/>
      <c r="L28" s="44"/>
      <c r="M28" s="44"/>
      <c r="N28" s="44"/>
      <c r="O28" s="44"/>
      <c r="P28" s="44"/>
      <c r="Q28" s="44"/>
    </row>
    <row r="29" spans="4:17" ht="17.25" x14ac:dyDescent="0.15">
      <c r="D29" s="79">
        <v>29</v>
      </c>
      <c r="E29" s="57" t="str">
        <f>IF(補助事業計画書②!AE32=0,"×",IF(補助事業計画書②!AE32&lt;I29,"×",IF(補助事業計画書②!AE32&gt;G29,"×","〇")))</f>
        <v>×</v>
      </c>
      <c r="F29">
        <v>29</v>
      </c>
      <c r="G29" s="49">
        <f>IF(I20&lt;=G20,I12,IF(I12&gt;G20,G20,I12))</f>
        <v>418000</v>
      </c>
      <c r="H29" s="265"/>
      <c r="I29" s="49">
        <f>IF(I20&lt;=G20,I12,G20-P16)</f>
        <v>418000</v>
      </c>
      <c r="J29" s="80"/>
      <c r="K29" s="96"/>
      <c r="L29" s="44"/>
      <c r="M29" s="44"/>
      <c r="N29" s="44"/>
      <c r="O29" s="44"/>
      <c r="P29" s="44"/>
      <c r="Q29" s="44"/>
    </row>
    <row r="30" spans="4:17" x14ac:dyDescent="0.15">
      <c r="D30" s="79"/>
      <c r="E30" s="52" t="s">
        <v>84</v>
      </c>
      <c r="G30" s="52" t="s">
        <v>84</v>
      </c>
      <c r="H30" s="265"/>
      <c r="I30" s="52" t="s">
        <v>84</v>
      </c>
      <c r="K30" s="81"/>
    </row>
    <row r="31" spans="4:17" ht="17.25" x14ac:dyDescent="0.15">
      <c r="D31" s="79">
        <v>30</v>
      </c>
      <c r="E31" s="57" t="str">
        <f>IF(補助事業計画書②!AE34&gt;I31,"×",IF(補助事業計画書②!AE34&lt;G31,"×","〇"))</f>
        <v>×</v>
      </c>
      <c r="F31">
        <v>30</v>
      </c>
      <c r="G31" s="49">
        <f>IF(I20&lt;=G20,I16,G20-N12)</f>
        <v>0</v>
      </c>
      <c r="H31" s="265"/>
      <c r="I31" s="49">
        <f>IF(I20&lt;=G20,I16,IF(ROUNDDOWN(G20/4,0)&gt;I16,I16,ROUNDDOWN(G20/4,0)))</f>
        <v>0</v>
      </c>
      <c r="K31" s="81"/>
    </row>
    <row r="32" spans="4:17" x14ac:dyDescent="0.15">
      <c r="D32" s="79"/>
      <c r="E32" s="53" t="s">
        <v>87</v>
      </c>
      <c r="G32" s="53" t="s">
        <v>87</v>
      </c>
      <c r="H32" s="265"/>
      <c r="I32" s="53" t="s">
        <v>87</v>
      </c>
      <c r="K32" s="81"/>
    </row>
    <row r="33" spans="4:11" ht="17.25" x14ac:dyDescent="0.15">
      <c r="D33" s="79">
        <v>33</v>
      </c>
      <c r="E33" s="57" t="s">
        <v>136</v>
      </c>
      <c r="F33">
        <v>33</v>
      </c>
      <c r="G33" s="49">
        <f>IF(I20&lt;=G20,I20,N12+N16)</f>
        <v>418000</v>
      </c>
      <c r="H33" s="265"/>
      <c r="I33" s="49">
        <f>IF(I20&lt;=G20,I20,I29+I31)</f>
        <v>418000</v>
      </c>
      <c r="K33" s="81"/>
    </row>
    <row r="34" spans="4:11" ht="17.25" x14ac:dyDescent="0.15">
      <c r="D34" s="92" t="s">
        <v>68</v>
      </c>
      <c r="E34" s="57" t="str">
        <f>IF(補助事業計画書②!AE32="","×",IF(補助事業計画書②!AE32=0,"×",IF(補助事業計画書②!AE36&lt;補助事業計画書②!AE34*4,"×","〇")))</f>
        <v>×</v>
      </c>
      <c r="K34" s="81"/>
    </row>
    <row r="35" spans="4:11" x14ac:dyDescent="0.15">
      <c r="D35" s="79"/>
      <c r="K35" s="81"/>
    </row>
    <row r="36" spans="4:11" x14ac:dyDescent="0.15">
      <c r="D36" s="79"/>
      <c r="G36" s="1" t="s">
        <v>98</v>
      </c>
      <c r="H36" s="1"/>
      <c r="I36" s="263" t="s">
        <v>105</v>
      </c>
      <c r="J36" s="264"/>
      <c r="K36" s="81"/>
    </row>
    <row r="37" spans="4:11" ht="13.5" customHeight="1" x14ac:dyDescent="0.15">
      <c r="D37" s="143" t="s">
        <v>112</v>
      </c>
      <c r="E37" s="142" t="str">
        <f>IF(OR(補助事業計画書②!G50="☑",
       補助事業計画書②!G51="☑",
       補助事業計画書②!G52="☑",
       補助事業計画書②!G53="☑",
       補助事業計画書②!G54="☑"),
       IF(補助事業計画書②!G59="☑","250万","200万"),
       IF(補助事業計画書②!G59="☑","100万","50万")
   )</f>
        <v>50万</v>
      </c>
      <c r="F37" s="99" t="s">
        <v>145</v>
      </c>
      <c r="G37" s="1" t="s">
        <v>99</v>
      </c>
      <c r="H37" s="73">
        <f>K2</f>
        <v>627000</v>
      </c>
      <c r="I37" s="261" t="s">
        <v>106</v>
      </c>
      <c r="J37" s="262"/>
      <c r="K37" s="81"/>
    </row>
    <row r="38" spans="4:11" x14ac:dyDescent="0.15">
      <c r="D38" s="79" t="s">
        <v>150</v>
      </c>
      <c r="E38" s="112" t="str">
        <f>IF(V2="×","",DBCS(E37) &amp; "円")</f>
        <v/>
      </c>
      <c r="F38" s="99" t="s">
        <v>146</v>
      </c>
      <c r="G38" s="1" t="s">
        <v>100</v>
      </c>
      <c r="H38" s="49">
        <f>補助事業計画書②!$AE$32</f>
        <v>0</v>
      </c>
      <c r="I38" s="97">
        <f>IF(AND(H37=0,H38=0),0,IF(OR(H37=0,H37=""),"",ROUNDDOWN(H38*100/H37,2)))</f>
        <v>0</v>
      </c>
      <c r="J38" s="1" t="str">
        <f>IF(補助事業計画書②!AE32="","",IF(I38="","",TEXT(I38,"##0.00")&amp;"%"))</f>
        <v/>
      </c>
      <c r="K38" s="81"/>
    </row>
    <row r="39" spans="4:11" x14ac:dyDescent="0.15">
      <c r="D39" s="79" t="s">
        <v>151</v>
      </c>
      <c r="E39" s="80" t="str">
        <f>H8</f>
        <v>2/3</v>
      </c>
      <c r="F39" s="99" t="s">
        <v>130</v>
      </c>
      <c r="G39" s="1" t="s">
        <v>102</v>
      </c>
      <c r="H39" s="73">
        <f>Q2</f>
        <v>0</v>
      </c>
      <c r="I39" s="261" t="s">
        <v>107</v>
      </c>
      <c r="J39" s="262"/>
      <c r="K39" s="81"/>
    </row>
    <row r="40" spans="4:11" x14ac:dyDescent="0.15">
      <c r="D40" s="79" t="s">
        <v>150</v>
      </c>
      <c r="E40" s="112" t="str">
        <f>IF(V2="×","",DBCS(E39) )</f>
        <v/>
      </c>
      <c r="F40" s="99" t="s">
        <v>147</v>
      </c>
      <c r="G40" s="1" t="s">
        <v>101</v>
      </c>
      <c r="H40" s="98">
        <f>H42-H38</f>
        <v>418000</v>
      </c>
      <c r="I40" s="97" t="str">
        <f>IF(H41=0,"",IF(AND(H39=0,H40=0),0,IF(OR(H39=0,H39=""),"",ROUNDDOWN(H40*100/H39,2))))</f>
        <v/>
      </c>
      <c r="J40" s="1" t="str">
        <f>IF(補助事業計画書②!AE32="","",IF(I40="","",TEXT(I40,"##0.00")&amp;"%"))</f>
        <v/>
      </c>
      <c r="K40" s="81"/>
    </row>
    <row r="41" spans="4:11" x14ac:dyDescent="0.15">
      <c r="D41" s="79"/>
      <c r="F41" s="99" t="s">
        <v>148</v>
      </c>
      <c r="G41" s="74" t="s">
        <v>103</v>
      </c>
      <c r="H41" s="73">
        <f>D2</f>
        <v>627000</v>
      </c>
      <c r="I41" s="261" t="s">
        <v>108</v>
      </c>
      <c r="J41" s="262"/>
      <c r="K41" s="81"/>
    </row>
    <row r="42" spans="4:11" x14ac:dyDescent="0.15">
      <c r="D42" s="79"/>
      <c r="F42" s="99" t="s">
        <v>149</v>
      </c>
      <c r="G42" s="1" t="s">
        <v>104</v>
      </c>
      <c r="H42" s="73">
        <f>H2</f>
        <v>418000</v>
      </c>
      <c r="I42" s="97" t="str">
        <f>IF(H41=0,"",IF(H40=0,0,IF(OR(H42=0,H42="",H39=0,H39=""),"",ROUNDDOWN(H40*100/H42,2))))</f>
        <v/>
      </c>
      <c r="J42" s="1" t="str">
        <f>IF(補助事業計画書②!AE32="","",IF(I42="","",TEXT(I42,"##0.00") &amp; "%"))</f>
        <v/>
      </c>
      <c r="K42" s="81"/>
    </row>
    <row r="43" spans="4:11" x14ac:dyDescent="0.15">
      <c r="D43" s="85"/>
      <c r="E43" s="93"/>
      <c r="F43" s="93"/>
      <c r="G43" s="93"/>
      <c r="H43" s="93"/>
      <c r="I43" s="93"/>
      <c r="J43" s="93"/>
      <c r="K43" s="88"/>
    </row>
    <row r="44" spans="4:11" x14ac:dyDescent="0.15">
      <c r="D44" s="76"/>
      <c r="E44" s="77"/>
      <c r="F44" s="77"/>
      <c r="G44" s="77"/>
      <c r="H44" s="77"/>
      <c r="I44" s="77"/>
      <c r="J44" s="77"/>
      <c r="K44" s="78"/>
    </row>
    <row r="45" spans="4:11" x14ac:dyDescent="0.15">
      <c r="D45" s="95" t="s">
        <v>134</v>
      </c>
      <c r="K45" s="81"/>
    </row>
    <row r="46" spans="4:11" x14ac:dyDescent="0.15">
      <c r="D46" s="113" t="s">
        <v>135</v>
      </c>
      <c r="E46" s="112" t="str">
        <f>IF(J22=0,"","※")</f>
        <v/>
      </c>
      <c r="K46" s="81"/>
    </row>
    <row r="47" spans="4:11" x14ac:dyDescent="0.15">
      <c r="D47" s="95"/>
      <c r="K47" s="81"/>
    </row>
    <row r="48" spans="4:11" x14ac:dyDescent="0.15">
      <c r="D48" s="79" t="s">
        <v>132</v>
      </c>
      <c r="E48" s="112" t="str">
        <f>IF(F16=0,"",IF(F12=0,"ウェブサイト関連費のみでの申請はできません",""))</f>
        <v/>
      </c>
      <c r="K48" s="81"/>
    </row>
    <row r="49" spans="4:11" x14ac:dyDescent="0.15">
      <c r="D49" s="79" t="s">
        <v>133</v>
      </c>
      <c r="E49" s="112" t="str">
        <f>IF(U2="○","","設備処分費が、(5)補助対象経費合計の1/2を超えています")</f>
        <v/>
      </c>
      <c r="K49" s="81"/>
    </row>
    <row r="50" spans="4:11" x14ac:dyDescent="0.15">
      <c r="D50" s="79"/>
      <c r="K50" s="81"/>
    </row>
    <row r="51" spans="4:11" x14ac:dyDescent="0.15">
      <c r="D51" s="79"/>
      <c r="K51" s="81"/>
    </row>
    <row r="52" spans="4:11" x14ac:dyDescent="0.15">
      <c r="D52" s="79"/>
      <c r="K52" s="81"/>
    </row>
    <row r="53" spans="4:11" x14ac:dyDescent="0.15">
      <c r="D53" s="79"/>
      <c r="K53" s="81"/>
    </row>
    <row r="54" spans="4:11" x14ac:dyDescent="0.15">
      <c r="D54" s="79"/>
      <c r="K54" s="81"/>
    </row>
    <row r="55" spans="4:11" x14ac:dyDescent="0.15">
      <c r="D55" s="123"/>
      <c r="E55" s="124"/>
      <c r="F55" s="124"/>
      <c r="G55" s="124"/>
      <c r="H55" s="124"/>
      <c r="I55" s="124"/>
      <c r="J55" s="124"/>
      <c r="K55" s="125"/>
    </row>
    <row r="56" spans="4:11" x14ac:dyDescent="0.15">
      <c r="D56" s="126" t="s">
        <v>139</v>
      </c>
      <c r="E56" s="122"/>
      <c r="F56" s="122"/>
      <c r="G56" s="122"/>
      <c r="H56" s="122"/>
      <c r="I56" s="122"/>
      <c r="J56" s="122"/>
      <c r="K56" s="127"/>
    </row>
    <row r="57" spans="4:11" x14ac:dyDescent="0.15">
      <c r="D57" s="132" t="str">
        <f>IF(補助事業計画書②!G68=補助事業計画書②!AE35,"〇","×")</f>
        <v>×</v>
      </c>
      <c r="E57" s="122"/>
      <c r="F57" s="122"/>
      <c r="G57" s="122"/>
      <c r="H57" s="122"/>
      <c r="I57" s="122"/>
      <c r="J57" s="122"/>
      <c r="K57" s="127"/>
    </row>
    <row r="58" spans="4:11" x14ac:dyDescent="0.15">
      <c r="D58" s="128"/>
      <c r="E58" s="122"/>
      <c r="F58" s="122"/>
      <c r="G58" s="122"/>
      <c r="H58" s="122"/>
      <c r="I58" s="122"/>
      <c r="J58" s="122"/>
      <c r="K58" s="127"/>
    </row>
    <row r="59" spans="4:11" x14ac:dyDescent="0.15">
      <c r="D59" s="128"/>
      <c r="E59" s="122"/>
      <c r="F59" s="122"/>
      <c r="G59" s="122"/>
      <c r="H59" s="122"/>
      <c r="I59" s="122"/>
      <c r="J59" s="122"/>
      <c r="K59" s="127"/>
    </row>
    <row r="60" spans="4:11" x14ac:dyDescent="0.15">
      <c r="D60" s="129"/>
      <c r="E60" s="130"/>
      <c r="F60" s="130"/>
      <c r="G60" s="130"/>
      <c r="H60" s="130"/>
      <c r="I60" s="130"/>
      <c r="J60" s="130"/>
      <c r="K60" s="131"/>
    </row>
  </sheetData>
  <mergeCells count="11">
    <mergeCell ref="F12:F14"/>
    <mergeCell ref="F16:F18"/>
    <mergeCell ref="E15:E18"/>
    <mergeCell ref="E11:E14"/>
    <mergeCell ref="G20:G22"/>
    <mergeCell ref="I39:J39"/>
    <mergeCell ref="I41:J41"/>
    <mergeCell ref="I36:J36"/>
    <mergeCell ref="O11:O20"/>
    <mergeCell ref="H28:H33"/>
    <mergeCell ref="I37:J37"/>
  </mergeCells>
  <phoneticPr fontId="10"/>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2.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19378C-7740-4896-A387-D6C60868199D}">
  <ds:schemaRefs>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e9a2f1ec-d622-4400-872a-35e0370e4027"/>
    <ds:schemaRef ds:uri="http://purl.org/dc/elements/1.1/"/>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KENREN12</cp:lastModifiedBy>
  <cp:lastPrinted>2023-02-21T08:45:40Z</cp:lastPrinted>
  <dcterms:created xsi:type="dcterms:W3CDTF">2020-03-24T00:10:15Z</dcterms:created>
  <dcterms:modified xsi:type="dcterms:W3CDTF">2023-06-08T06:50:03Z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