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C:\Users\KENREN-M\Desktop\"/>
    </mc:Choice>
  </mc:AlternateContent>
  <xr:revisionPtr revIDLastSave="0" documentId="8_{81FD6323-119C-4248-AA60-8F1E956FF336}" xr6:coauthVersionLast="47" xr6:coauthVersionMax="47" xr10:uidLastSave="{00000000-0000-0000-0000-000000000000}"/>
  <workbookProtection workbookAlgorithmName="SHA-512" workbookHashValue="U/JeUt25LclNFysIzTJbTJXtCkkT6hqeEUSSUK5JgSUEQgi/dJt+536pZG4LCNbgBae8Iw48vb1MAFaxmpjUwQ==" workbookSaltValue="zpygivoFPhTJpjQSFirTWQ==" workbookSpinCount="100000" lockStructure="1"/>
  <bookViews>
    <workbookView xWindow="-3225" yWindow="-16320" windowWidth="29040" windowHeight="15720" xr2:uid="{00000000-000D-0000-FFFF-FFFF00000000}"/>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2" i="2" l="1"/>
  <c r="G46" i="20" l="1"/>
  <c r="H38" i="2" l="1"/>
  <c r="G15" i="2" l="1"/>
  <c r="G11" i="2"/>
  <c r="E37" i="2" l="1"/>
  <c r="E38" i="2" s="1"/>
  <c r="AN24" i="20" s="1"/>
  <c r="E2" i="2"/>
  <c r="G49" i="20" l="1"/>
  <c r="X2" i="2"/>
  <c r="W2" i="2"/>
  <c r="H8" i="2"/>
  <c r="H10" i="2" s="1"/>
  <c r="H15" i="2"/>
  <c r="H11" i="2"/>
  <c r="E39" i="2" l="1"/>
  <c r="E40" i="2" s="1"/>
  <c r="AP24" i="20" s="1"/>
  <c r="H9" i="2"/>
  <c r="Y2" i="2"/>
  <c r="DG13" i="20"/>
  <c r="DF13" i="20"/>
  <c r="DE13" i="20"/>
  <c r="DD13" i="20"/>
  <c r="K2" i="2" l="1"/>
  <c r="AE16" i="20" s="1"/>
  <c r="H37" i="2" l="1"/>
  <c r="I38" i="2" s="1"/>
  <c r="F12" i="2"/>
  <c r="Q2" i="2"/>
  <c r="AE18" i="20" s="1"/>
  <c r="H17" i="2" l="1"/>
  <c r="H16" i="2"/>
  <c r="H18" i="2" s="1"/>
  <c r="G12" i="2"/>
  <c r="G14" i="2" s="1"/>
  <c r="I14" i="2" s="1"/>
  <c r="J38" i="2"/>
  <c r="AO17" i="20" s="1"/>
  <c r="D2" i="2"/>
  <c r="H41" i="2" s="1"/>
  <c r="H39" i="2"/>
  <c r="F16" i="2"/>
  <c r="E48" i="2" s="1"/>
  <c r="T2" i="2"/>
  <c r="H13" i="2" l="1"/>
  <c r="H12" i="2"/>
  <c r="H14" i="2" s="1"/>
  <c r="I12" i="2"/>
  <c r="G16" i="2"/>
  <c r="G17" i="2"/>
  <c r="AE20" i="20"/>
  <c r="L2" i="2"/>
  <c r="F2" i="2" l="1"/>
  <c r="G2" i="2" s="1"/>
  <c r="D57" i="2"/>
  <c r="AM49" i="20" s="1"/>
  <c r="G18" i="2"/>
  <c r="DD14" i="20"/>
  <c r="DE14" i="20"/>
  <c r="DF14" i="20"/>
  <c r="DG14" i="20"/>
  <c r="G20" i="2" l="1"/>
  <c r="H21" i="2" l="1"/>
  <c r="H20" i="2"/>
  <c r="I16" i="2" s="1"/>
  <c r="I20" i="2" s="1"/>
  <c r="DG15" i="20"/>
  <c r="DF15" i="20"/>
  <c r="DE15" i="20"/>
  <c r="DD15" i="20"/>
  <c r="DG12" i="20"/>
  <c r="DF12" i="20"/>
  <c r="DE12" i="20"/>
  <c r="DD12" i="20"/>
  <c r="DG11" i="20"/>
  <c r="DF11" i="20"/>
  <c r="DE11" i="20"/>
  <c r="DD11" i="20"/>
  <c r="I17" i="2" l="1"/>
  <c r="I18" i="2"/>
  <c r="H22" i="2"/>
  <c r="I2" i="2"/>
  <c r="S2" i="2"/>
  <c r="U2" i="2" s="1"/>
  <c r="I22" i="2" l="1"/>
  <c r="J22" i="2" s="1"/>
  <c r="E49" i="2"/>
  <c r="E46" i="2" l="1"/>
  <c r="AK21" i="20" s="1"/>
  <c r="AM26" i="20"/>
  <c r="J20" i="2" l="1"/>
  <c r="AE21" i="20" s="1"/>
  <c r="I31" i="2"/>
  <c r="L12" i="2"/>
  <c r="P16" i="2"/>
  <c r="I29" i="2" s="1"/>
  <c r="AP17" i="20" s="1"/>
  <c r="N12" i="2"/>
  <c r="G31" i="2" s="1"/>
  <c r="L20" i="2"/>
  <c r="G29" i="2"/>
  <c r="AR17" i="20" s="1"/>
  <c r="L16" i="2"/>
  <c r="AN19" i="20" l="1"/>
  <c r="AN17" i="20"/>
  <c r="AN21" i="20"/>
  <c r="E29" i="2"/>
  <c r="AM17" i="20" s="1"/>
  <c r="M16" i="2"/>
  <c r="I33" i="2"/>
  <c r="N16" i="2"/>
  <c r="G33" i="2" s="1"/>
  <c r="P12" i="2"/>
  <c r="P20" i="2" s="1"/>
  <c r="H2" i="2" l="1"/>
  <c r="N20" i="2"/>
  <c r="H42" i="2" l="1"/>
  <c r="H40" i="2" s="1"/>
  <c r="M2" i="2"/>
  <c r="N2" i="2" s="1"/>
  <c r="AM21" i="20" l="1"/>
  <c r="I42" i="2"/>
  <c r="O2" i="2"/>
  <c r="J2" i="2" s="1"/>
  <c r="P2" i="2"/>
  <c r="J42" i="2" l="1"/>
  <c r="AO22" i="20" s="1"/>
  <c r="I40" i="2"/>
  <c r="J40" i="2" s="1"/>
  <c r="AO19" i="20" s="1"/>
  <c r="AE19" i="20"/>
  <c r="E34" i="2" l="1"/>
  <c r="R2" i="2"/>
  <c r="AE22" i="20" s="1"/>
  <c r="E31" i="2"/>
  <c r="AM19" i="20" l="1"/>
  <c r="AM22" i="20"/>
</calcChain>
</file>

<file path=xl/sharedStrings.xml><?xml version="1.0" encoding="utf-8"?>
<sst xmlns="http://schemas.openxmlformats.org/spreadsheetml/2006/main" count="218" uniqueCount="182">
  <si>
    <t>（様式３－１：単独１事業者による申請の場合）</t>
  </si>
  <si>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</si>
  <si>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</si>
  <si>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</si>
  <si>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</si>
  <si>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</si>
  <si>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</si>
  <si>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</si>
  <si>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</si>
  <si>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</si>
  <si>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</si>
  <si>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</si>
  <si>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</si>
  <si>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</si>
  <si>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</si>
  <si>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</si>
  <si>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</si>
  <si>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</si>
  <si>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</si>
  <si>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</si>
  <si>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</si>
  <si>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</si>
  <si>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</si>
  <si>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</si>
  <si>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</si>
  <si>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</si>
  <si>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</si>
  <si>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</si>
  <si>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</si>
  <si>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</si>
  <si>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</si>
  <si>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</si>
  <si>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</si>
  <si>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</si>
  <si>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</si>
  <si>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インボイス枠</t>
    <phoneticPr fontId="10"/>
  </si>
  <si>
    <t>上限額</t>
    <rPh sb="0" eb="3">
      <t>ジョウゲンガク</t>
    </rPh>
    <phoneticPr fontId="10"/>
  </si>
  <si>
    <t>２００万円</t>
    <phoneticPr fontId="10"/>
  </si>
  <si>
    <t>１００万円</t>
    <phoneticPr fontId="10"/>
  </si>
  <si>
    <t>概要</t>
    <phoneticPr fontId="10"/>
  </si>
  <si>
    <t>申請時において、「アトツギ甲子園」のファイナリストになった事業者であること。</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</si>
  <si>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</si>
  <si>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</si>
  <si>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</si>
  <si>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</si>
  <si>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⑥開発費</t>
    <rPh sb="1" eb="4">
      <t>カイハツヒ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</si>
  <si>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</si>
  <si>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</si>
  <si>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</si>
  <si>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</si>
  <si>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</si>
  <si>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</si>
  <si>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</si>
  <si>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</si>
  <si>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</si>
  <si>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</si>
  <si>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※「赤字事業者」については「賃金引上げ枠」にもチェックを入れてください。</t>
    </r>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</si>
  <si>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</si>
  <si>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</si>
  <si>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</si>
  <si>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</si>
  <si>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</si>
  <si>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</si>
  <si>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</si>
  <si>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</si>
  <si>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</si>
  <si>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</si>
  <si>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</si>
  <si>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</si>
  <si>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</si>
  <si>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</si>
  <si>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</si>
  <si>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</si>
  <si>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</si>
  <si>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</si>
  <si>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</si>
  <si>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</si>
  <si>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</si>
  <si>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</si>
  <si>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</si>
  <si>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</si>
  <si>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</si>
  <si>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</si>
  <si>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a経費</t>
    <rPh sb="1" eb="3">
      <t>ケイヒ</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</si>
  <si>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</si>
  <si>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</si>
  <si>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</si>
  <si>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c経費</t>
    <rPh sb="1" eb="3">
      <t>ケイヒ</t>
    </rPh>
    <phoneticPr fontId="10"/>
  </si>
  <si>
    <t>d.補助額の最大値</t>
    <rPh sb="2" eb="4">
      <t>ホジョ</t>
    </rPh>
    <rPh sb="4" eb="5">
      <t>ガク</t>
    </rPh>
    <phoneticPr fontId="10"/>
  </si>
  <si>
    <t>d.Webの申請額</t>
    <phoneticPr fontId="10"/>
  </si>
  <si>
    <t>最大補助額</t>
    <rPh sb="0" eb="2">
      <t>サイダイ</t>
    </rPh>
    <rPh sb="2" eb="4">
      <t>ホジョ</t>
    </rPh>
    <rPh sb="4" eb="5">
      <t>ガク</t>
    </rPh>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</si>
  <si>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</si>
  <si>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</si>
  <si>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</si>
  <si>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</si>
  <si>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</si>
  <si>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</si>
  <si>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</si>
  <si>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</si>
  <si>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</si>
  <si>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</si>
  <si>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</si>
  <si>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</si>
  <si>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</si>
  <si>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</si>
  <si>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</si>
  <si>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</si>
  <si>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</si>
  <si>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</si>
  <si>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</si>
  <si>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</si>
  <si>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</si>
  <si>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</si>
  <si>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</si>
  <si>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</si>
  <si>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</si>
  <si>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</si>
  <si>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</si>
  <si>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</si>
  <si>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</si>
  <si>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</si>
  <si>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</si>
  <si>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</si>
  <si>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</si>
  <si>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</si>
  <si>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</si>
  <si>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</si>
  <si>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</si>
  <si>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</si>
  <si>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</si>
  <si>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</si>
  <si>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</si>
  <si>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</si>
  <si>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</si>
  <si>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</si>
  <si>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</si>
  <si>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</si>
  <si>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</si>
  <si>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</si>
  <si>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</si>
  <si>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</si>
  <si>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</si>
  <si>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</si>
  <si>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</si>
  <si>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</si>
  <si>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</si>
  <si>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</si>
  <si>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</si>
  <si>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</si>
  <si>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</si>
  <si>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</si>
  <si>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</si>
  <si>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</si>
  <si>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</si>
  <si>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</si>
  <si>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</si>
  <si>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</si>
  <si>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</si>
  <si>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t>※補助対象経費の消費税（税抜・税込）区分については、別紙「参考資料」の「１１．消費税等仕入控除税額」を参照のこと。</t>
  </si>
  <si>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</si>
  <si>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</si>
  <si>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</si>
  <si>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t>
  </si>
  <si>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</si>
  <si>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</si>
  <si>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</si>
  <si>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　　免税・簡易課税事業者の場合は（税込）を選択してください</t>
    <rPh sb="17" eb="19">
      <t>ゼイコ</t>
    </rPh>
    <phoneticPr fontId="10"/>
  </si>
  <si>
    <t>※１　補助金額は、Ⅱ．経費明細表（６）補助金交付申請額と一致させること。</t>
    <phoneticPr fontId="10"/>
  </si>
  <si>
    <t>※２　合計額は、Ⅱ．経費明細表（５）補助対象経費合計と一致させること。</t>
    <phoneticPr fontId="10"/>
  </si>
  <si>
    <t>2版</t>
    <rPh sb="1" eb="2">
      <t>ハン</t>
    </rPh>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</si>
  <si>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</si>
  <si>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</si>
  <si>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</si>
  <si>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</si>
  <si>
    <t>2021年9月30日から2023年9月30日の属する課税期間で一度でも免税事業者であった又は免税事業者であることが見込まれる事業者のうち、インボイス（適格請求書）発行事業者の登録が確認できた事業者であること。</t>
    <phoneticPr fontId="10"/>
  </si>
  <si>
    <r>
      <t>（１）補助対象経費小計</t>
    </r>
    <r>
      <rPr>
        <sz val="11"/>
        <color rgb="FFFF0000"/>
        <rFont val="ＭＳ ゴシック"/>
        <family val="3"/>
        <charset val="128"/>
      </rPr>
      <t>（ウェブサイト関連費を除く）</t>
    </r>
    <phoneticPr fontId="10"/>
  </si>
  <si>
    <r>
      <t>（２）補助金交付申請額</t>
    </r>
    <r>
      <rPr>
        <sz val="11"/>
        <color rgb="FFFF0000"/>
        <rFont val="ＭＳ ゴシック"/>
        <family val="3"/>
        <charset val="128"/>
      </rPr>
      <t>（ウェブサイト関連費を除く）</t>
    </r>
    <phoneticPr fontId="10"/>
  </si>
  <si>
    <t>（３）ウェブサイト関連費に係る補助対象経費小計</t>
    <phoneticPr fontId="10"/>
  </si>
  <si>
    <t>（５）補助対象経費合計　　　（a）＋（c）</t>
    <phoneticPr fontId="10"/>
  </si>
  <si>
    <t>（６）補助金交付申請額合計　　（b）＋（d）</t>
    <phoneticPr fontId="10"/>
  </si>
  <si>
    <t>(d)が(f)の1/4以内であるか（「いいえ」の場合は申請できません）</t>
    <phoneticPr fontId="10"/>
  </si>
  <si>
    <t>（４）ウェブサイト関連費に係る交付申請額</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</si>
</sst>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39"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ck">
        <color rgb="FFFF0000"/>
      </left>
      <right/>
      <top/>
      <bottom style="thin">
        <color indexed="64"/>
      </bottom>
      <diagonal/>
    </border>
    <border>
      <left/>
      <right style="thick">
        <color rgb="FFFF0000"/>
      </right>
      <top/>
      <bottom style="thin">
        <color indexed="64"/>
      </bottom>
      <diagonal/>
    </border>
    <border>
      <left style="medium">
        <color indexed="64"/>
      </left>
      <right style="medium">
        <color indexed="64"/>
      </right>
      <top style="medium">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59">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20" fontId="0" fillId="0" borderId="0" xfId="0" applyNumberFormat="1">
      <alignment vertical="center"/>
    </xf>
    <xf numFmtId="0" fontId="14" fillId="3" borderId="0" xfId="0" applyFont="1" applyFill="1">
      <alignment vertical="center"/>
    </xf>
    <xf numFmtId="0" fontId="7" fillId="0" borderId="0" xfId="0" applyFont="1" applyAlignment="1">
      <alignment vertical="center" shrinkToFit="1"/>
    </xf>
    <xf numFmtId="0" fontId="5" fillId="0" borderId="18" xfId="0" applyFont="1" applyBorder="1">
      <alignment vertical="center"/>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23" xfId="0" applyFont="1" applyBorder="1" applyAlignment="1">
      <alignment vertical="center" shrinkToFit="1"/>
    </xf>
    <xf numFmtId="0" fontId="2" fillId="0" borderId="24" xfId="0" applyFont="1" applyBorder="1" applyAlignment="1">
      <alignment vertical="center" shrinkToFit="1"/>
    </xf>
    <xf numFmtId="0" fontId="7" fillId="0" borderId="0" xfId="0" applyFont="1" applyAlignment="1">
      <alignment horizontal="left" vertical="center"/>
    </xf>
    <xf numFmtId="0" fontId="15" fillId="0" borderId="0" xfId="0" applyFont="1" applyAlignment="1">
      <alignment vertical="center" shrinkToFit="1"/>
    </xf>
    <xf numFmtId="0" fontId="19" fillId="0" borderId="0" xfId="0"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horizontal="left" vertical="center" wrapText="1"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2" fillId="0" borderId="27" xfId="0" applyFont="1" applyBorder="1" applyAlignment="1">
      <alignment vertical="center" shrinkToFit="1"/>
    </xf>
    <xf numFmtId="0" fontId="2" fillId="0" borderId="28" xfId="0" applyFont="1" applyBorder="1" applyAlignment="1">
      <alignment vertical="center" shrinkToFit="1"/>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26" fillId="0" borderId="0" xfId="0" applyFont="1">
      <alignment vertical="center"/>
    </xf>
    <xf numFmtId="0" fontId="25" fillId="0" borderId="0" xfId="0" applyFont="1">
      <alignment vertical="center"/>
    </xf>
    <xf numFmtId="0" fontId="30" fillId="3" borderId="0" xfId="0" applyFont="1" applyFill="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Protection="1">
      <alignment vertical="center"/>
      <protection locked="0"/>
    </xf>
    <xf numFmtId="0" fontId="0" fillId="3" borderId="0" xfId="0" applyFill="1">
      <alignment vertical="center"/>
    </xf>
    <xf numFmtId="177" fontId="28" fillId="3" borderId="0" xfId="0" applyNumberFormat="1" applyFont="1" applyFill="1" applyAlignment="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29"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Border="1">
      <alignment vertical="center"/>
    </xf>
    <xf numFmtId="176" fontId="0" fillId="0" borderId="0" xfId="0" applyNumberFormat="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Alignment="1" applyProtection="1">
      <alignment horizontal="right" vertical="top"/>
      <protection hidden="1"/>
    </xf>
    <xf numFmtId="0" fontId="30" fillId="3" borderId="0" xfId="0" applyFont="1" applyFill="1" applyProtection="1">
      <alignment vertical="center"/>
      <protection hidden="1"/>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178" fontId="0" fillId="0" borderId="0" xfId="0" applyNumberFormat="1">
      <alignment vertical="center"/>
    </xf>
    <xf numFmtId="0" fontId="0" fillId="0" borderId="34" xfId="0" applyBorder="1">
      <alignment vertical="center"/>
    </xf>
    <xf numFmtId="178" fontId="32" fillId="0" borderId="0" xfId="0" applyNumberFormat="1" applyFont="1">
      <alignment vertical="center"/>
    </xf>
    <xf numFmtId="0" fontId="33" fillId="0" borderId="0" xfId="0" applyFont="1">
      <alignment vertical="center"/>
    </xf>
    <xf numFmtId="179" fontId="0" fillId="0" borderId="0" xfId="0" applyNumberFormat="1">
      <alignment vertical="center"/>
    </xf>
    <xf numFmtId="0" fontId="0" fillId="0" borderId="35" xfId="0" applyBorder="1">
      <alignment vertical="center"/>
    </xf>
    <xf numFmtId="49" fontId="0" fillId="0" borderId="36" xfId="0" applyNumberFormat="1" applyBorder="1">
      <alignment vertical="center"/>
    </xf>
    <xf numFmtId="178" fontId="0" fillId="0" borderId="36" xfId="0" applyNumberFormat="1" applyBorder="1">
      <alignment vertical="center"/>
    </xf>
    <xf numFmtId="0" fontId="0" fillId="0" borderId="37" xfId="0" applyBorder="1">
      <alignment vertical="center"/>
    </xf>
    <xf numFmtId="49" fontId="0" fillId="0" borderId="31" xfId="0" applyNumberFormat="1" applyBorder="1">
      <alignment vertical="center"/>
    </xf>
    <xf numFmtId="178" fontId="0" fillId="0" borderId="31" xfId="0" applyNumberFormat="1" applyBorder="1">
      <alignment vertical="center"/>
    </xf>
    <xf numFmtId="49" fontId="0" fillId="0" borderId="32" xfId="0" applyNumberFormat="1" applyBorder="1">
      <alignment vertical="center"/>
    </xf>
    <xf numFmtId="0" fontId="30" fillId="14" borderId="38" xfId="0" applyFont="1" applyFill="1" applyBorder="1">
      <alignment vertical="center"/>
    </xf>
    <xf numFmtId="0" fontId="0" fillId="0" borderId="36" xfId="0" applyBorder="1">
      <alignment vertical="center"/>
    </xf>
    <xf numFmtId="49" fontId="34" fillId="0" borderId="0" xfId="0" applyNumberFormat="1" applyFont="1">
      <alignment vertical="center"/>
    </xf>
    <xf numFmtId="49" fontId="34" fillId="0" borderId="33" xfId="0" applyNumberFormat="1" applyFont="1" applyBorder="1">
      <alignment vertical="center"/>
    </xf>
    <xf numFmtId="49" fontId="0" fillId="0" borderId="34"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25" fillId="0" borderId="0" xfId="0" applyFont="1" applyAlignment="1">
      <alignment horizontal="center" vertical="center"/>
    </xf>
    <xf numFmtId="177" fontId="14"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Alignment="1">
      <alignment vertical="center" wrapText="1"/>
    </xf>
    <xf numFmtId="0" fontId="0" fillId="10" borderId="0" xfId="0" applyFill="1">
      <alignment vertical="center"/>
    </xf>
    <xf numFmtId="49" fontId="26" fillId="0" borderId="33" xfId="0" applyNumberFormat="1" applyFont="1" applyBorder="1">
      <alignment vertical="center"/>
    </xf>
    <xf numFmtId="176" fontId="0" fillId="0" borderId="39" xfId="0" applyNumberFormat="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182" fontId="31" fillId="7" borderId="0" xfId="1" applyNumberFormat="1"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lignment vertical="center"/>
    </xf>
    <xf numFmtId="0" fontId="34" fillId="0" borderId="30" xfId="0" applyFont="1" applyBorder="1">
      <alignment vertical="center"/>
    </xf>
    <xf numFmtId="0" fontId="34" fillId="0" borderId="31" xfId="0" applyFont="1" applyBorder="1">
      <alignment vertical="center"/>
    </xf>
    <xf numFmtId="0" fontId="34" fillId="0" borderId="32" xfId="0" applyFont="1" applyBorder="1">
      <alignment vertical="center"/>
    </xf>
    <xf numFmtId="0" fontId="18" fillId="0" borderId="33" xfId="0" applyFont="1" applyBorder="1">
      <alignment vertical="center"/>
    </xf>
    <xf numFmtId="0" fontId="34" fillId="0" borderId="34" xfId="0" applyFont="1" applyBorder="1">
      <alignment vertical="center"/>
    </xf>
    <xf numFmtId="0" fontId="34" fillId="0" borderId="33" xfId="0" applyFont="1" applyBorder="1">
      <alignment vertical="center"/>
    </xf>
    <xf numFmtId="0" fontId="34" fillId="0" borderId="35" xfId="0" applyFont="1" applyBorder="1">
      <alignment vertical="center"/>
    </xf>
    <xf numFmtId="0" fontId="34" fillId="0" borderId="36" xfId="0" applyFont="1" applyBorder="1">
      <alignment vertical="center"/>
    </xf>
    <xf numFmtId="0" fontId="34" fillId="0" borderId="37" xfId="0" applyFont="1" applyBorder="1">
      <alignment vertical="center"/>
    </xf>
    <xf numFmtId="0" fontId="26" fillId="0" borderId="33" xfId="0" applyFont="1" applyBorder="1">
      <alignment vertical="center"/>
    </xf>
    <xf numFmtId="178" fontId="0" fillId="12" borderId="1" xfId="0" applyNumberFormat="1" applyFill="1" applyBorder="1">
      <alignment vertical="center"/>
    </xf>
    <xf numFmtId="0" fontId="37" fillId="0" borderId="0" xfId="0" applyFont="1" applyAlignment="1">
      <alignment horizontal="left" vertical="center"/>
    </xf>
    <xf numFmtId="0" fontId="15" fillId="0" borderId="0" xfId="0" applyFont="1">
      <alignment vertical="center"/>
    </xf>
    <xf numFmtId="0" fontId="0" fillId="0" borderId="0" xfId="0" applyAlignment="1">
      <alignment vertical="center" shrinkToFit="1"/>
    </xf>
    <xf numFmtId="0" fontId="15" fillId="0" borderId="0" xfId="0" applyFont="1" applyAlignment="1">
      <alignment horizontal="left" vertical="center" shrinkToFi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0" fontId="35" fillId="10" borderId="0" xfId="0" applyFont="1" applyFill="1" applyAlignment="1">
      <alignment horizontal="left" vertical="center" wrapText="1"/>
    </xf>
    <xf numFmtId="0" fontId="35" fillId="0" borderId="0" xfId="0" applyFont="1" applyAlignment="1">
      <alignment horizontal="left" vertical="center" wrapText="1"/>
    </xf>
    <xf numFmtId="0" fontId="5" fillId="0" borderId="1" xfId="0" applyFont="1" applyBorder="1" applyAlignment="1">
      <alignment horizontal="left" vertical="center" wrapText="1" shrinkToFit="1"/>
    </xf>
    <xf numFmtId="0" fontId="16" fillId="5" borderId="1" xfId="0" applyFont="1" applyFill="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16" fillId="5" borderId="1" xfId="0" applyFont="1" applyFill="1" applyBorder="1" applyAlignment="1">
      <alignment horizontal="center" vertical="center" wrapText="1" shrinkToFit="1"/>
    </xf>
    <xf numFmtId="0" fontId="5" fillId="0" borderId="6"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5" fillId="0" borderId="5" xfId="0" applyFont="1" applyBorder="1" applyAlignment="1">
      <alignment horizontal="center" vertical="center"/>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2" fillId="0" borderId="6" xfId="0" applyFont="1" applyBorder="1" applyAlignment="1" applyProtection="1">
      <alignment horizontal="center" vertical="center" shrinkToFit="1"/>
      <protection locked="0"/>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19" fillId="0" borderId="0" xfId="0" applyFont="1" applyAlignment="1">
      <alignment horizontal="left" vertical="center" shrinkToFit="1"/>
    </xf>
    <xf numFmtId="0" fontId="16" fillId="5" borderId="1" xfId="0" applyFont="1" applyFill="1" applyBorder="1" applyAlignment="1">
      <alignment horizontal="center" vertical="center" wrapText="1"/>
    </xf>
    <xf numFmtId="0" fontId="16" fillId="5" borderId="17" xfId="0" applyFont="1" applyFill="1" applyBorder="1" applyAlignment="1">
      <alignment horizontal="center" vertical="center"/>
    </xf>
    <xf numFmtId="0" fontId="5"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21" fillId="0" borderId="0" xfId="0" applyFont="1" applyAlignment="1">
      <alignment horizontal="left" vertical="center" wrapText="1" shrinkToFit="1"/>
    </xf>
    <xf numFmtId="0" fontId="15" fillId="0" borderId="0" xfId="0" applyFont="1" applyAlignment="1">
      <alignment horizontal="left" vertical="center" wrapText="1" shrinkToFit="1"/>
    </xf>
    <xf numFmtId="0" fontId="4" fillId="5" borderId="1" xfId="0" applyFont="1" applyFill="1" applyBorder="1" applyAlignment="1">
      <alignment horizontal="left" vertical="center" wrapText="1"/>
    </xf>
    <xf numFmtId="177" fontId="6" fillId="6"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4" fillId="5" borderId="1" xfId="0" applyFont="1" applyFill="1" applyBorder="1" applyAlignment="1">
      <alignment horizontal="left" vertical="top" wrapText="1"/>
    </xf>
    <xf numFmtId="0" fontId="7" fillId="0" borderId="0" xfId="0" applyFont="1" applyAlignment="1">
      <alignment horizontal="left" vertical="center"/>
    </xf>
    <xf numFmtId="177" fontId="6" fillId="6" borderId="5" xfId="0" applyNumberFormat="1" applyFont="1" applyFill="1" applyBorder="1" applyAlignment="1">
      <alignment horizontal="right" vertical="center" wrapText="1"/>
    </xf>
    <xf numFmtId="177" fontId="6" fillId="6" borderId="6" xfId="0" applyNumberFormat="1" applyFont="1" applyFill="1" applyBorder="1" applyAlignment="1">
      <alignment horizontal="right" vertical="center" wrapText="1"/>
    </xf>
    <xf numFmtId="177" fontId="6" fillId="6" borderId="7" xfId="0" applyNumberFormat="1" applyFont="1" applyFill="1" applyBorder="1" applyAlignment="1">
      <alignment horizontal="right" vertical="center" wrapText="1"/>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7" fillId="0" borderId="0" xfId="0" applyFont="1">
      <alignment vertical="center"/>
    </xf>
    <xf numFmtId="176" fontId="6" fillId="0" borderId="5" xfId="0" applyNumberFormat="1" applyFont="1" applyBorder="1" applyAlignment="1" applyProtection="1">
      <alignment horizontal="right" vertical="center" wrapText="1"/>
      <protection locked="0"/>
    </xf>
    <xf numFmtId="176" fontId="6" fillId="0" borderId="6" xfId="0" applyNumberFormat="1" applyFont="1" applyBorder="1" applyAlignment="1" applyProtection="1">
      <alignment horizontal="right" vertical="center" wrapText="1"/>
      <protection locked="0"/>
    </xf>
    <xf numFmtId="176" fontId="6" fillId="0" borderId="7" xfId="0" applyNumberFormat="1" applyFont="1" applyBorder="1" applyAlignment="1" applyProtection="1">
      <alignment horizontal="right" vertical="center" wrapText="1"/>
      <protection locked="0"/>
    </xf>
    <xf numFmtId="176" fontId="6" fillId="5" borderId="5" xfId="0" applyNumberFormat="1" applyFont="1" applyFill="1" applyBorder="1" applyAlignment="1">
      <alignment horizontal="right" vertical="center" wrapText="1"/>
    </xf>
    <xf numFmtId="176" fontId="6" fillId="5" borderId="6" xfId="0" applyNumberFormat="1" applyFont="1" applyFill="1" applyBorder="1" applyAlignment="1">
      <alignment horizontal="right" vertical="center" wrapText="1"/>
    </xf>
    <xf numFmtId="176" fontId="6" fillId="5" borderId="7" xfId="0" applyNumberFormat="1" applyFont="1" applyFill="1" applyBorder="1" applyAlignment="1">
      <alignment horizontal="right" vertical="center" wrapText="1"/>
    </xf>
    <xf numFmtId="0" fontId="12" fillId="0" borderId="3" xfId="0" applyFont="1" applyBorder="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left" vertical="top"/>
    </xf>
    <xf numFmtId="0" fontId="26" fillId="0" borderId="0" xfId="0" applyFont="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30">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B4603"/>
      <color rgb="FFFCE4D6"/>
      <color rgb="FFFFCCFF"/>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44</xdr:row>
      <xdr:rowOff>19051</xdr:rowOff>
    </xdr:from>
    <xdr:to>
      <xdr:col>18</xdr:col>
      <xdr:colOff>152401</xdr:colOff>
      <xdr:row>46</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0</xdr:col>
      <xdr:colOff>138042</xdr:colOff>
      <xdr:row>16</xdr:row>
      <xdr:rowOff>165653</xdr:rowOff>
    </xdr:from>
    <xdr:to>
      <xdr:col>22</xdr:col>
      <xdr:colOff>132520</xdr:colOff>
      <xdr:row>17</xdr:row>
      <xdr:rowOff>27610</xdr:rowOff>
    </xdr:to>
    <xdr:sp macro="" textlink="">
      <xdr:nvSpPr>
        <xdr:cNvPr id="5" name="正方形/長方形 4">
          <a:extLst>
            <a:ext uri="{FF2B5EF4-FFF2-40B4-BE49-F238E27FC236}">
              <a16:creationId xmlns:a16="http://schemas.microsoft.com/office/drawing/2014/main" id="{B063B10A-E0D5-E797-86B6-BBA1A48D5C29}"/>
            </a:ext>
          </a:extLst>
        </xdr:cNvPr>
        <xdr:cNvSpPr/>
      </xdr:nvSpPr>
      <xdr:spPr>
        <a:xfrm>
          <a:off x="138042" y="4351131"/>
          <a:ext cx="3760304" cy="2263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（１）×補助率</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2/3</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（※）以内（円未満切捨て）</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130311</xdr:colOff>
      <xdr:row>18</xdr:row>
      <xdr:rowOff>146878</xdr:rowOff>
    </xdr:from>
    <xdr:to>
      <xdr:col>29</xdr:col>
      <xdr:colOff>132522</xdr:colOff>
      <xdr:row>19</xdr:row>
      <xdr:rowOff>8835</xdr:rowOff>
    </xdr:to>
    <xdr:sp macro="" textlink="">
      <xdr:nvSpPr>
        <xdr:cNvPr id="6" name="正方形/長方形 5">
          <a:extLst>
            <a:ext uri="{FF2B5EF4-FFF2-40B4-BE49-F238E27FC236}">
              <a16:creationId xmlns:a16="http://schemas.microsoft.com/office/drawing/2014/main" id="{27362F2B-FF37-4A34-AC13-0920ABE9698A}"/>
            </a:ext>
          </a:extLst>
        </xdr:cNvPr>
        <xdr:cNvSpPr/>
      </xdr:nvSpPr>
      <xdr:spPr>
        <a:xfrm>
          <a:off x="130311" y="4945269"/>
          <a:ext cx="4999385" cy="2263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（（６）の</a:t>
          </a:r>
          <a:r>
            <a:rPr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1/4</a:t>
          </a:r>
          <a:r>
            <a:rPr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を上限（最大５０万円））</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c</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）×補助率</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2/3</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（※）以内（円未満切捨て）</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G54"/>
  <sheetViews>
    <sheetView showGridLines="0" tabSelected="1" view="pageBreakPreview" topLeftCell="A40" zoomScale="115" zoomScaleNormal="115" zoomScaleSheetLayoutView="115" workbookViewId="0">
      <selection activeCell="V5" sqref="V5:AJ5"/>
    </sheetView>
  </sheetViews>
  <sheetFormatPr defaultColWidth="0" defaultRowHeight="13.5" x14ac:dyDescent="0.15"/>
  <cols>
    <col min="1" max="26" width="2.5" customWidth="1"/>
    <col min="27" max="30" width="2.625" customWidth="1"/>
    <col min="31" max="35" width="2.5" customWidth="1"/>
    <col min="36" max="37" width="3.25" customWidth="1"/>
    <col min="38" max="38" width="1.125" customWidth="1"/>
    <col min="39" max="39" width="15.375" customWidth="1"/>
    <col min="40" max="40" width="11.375" customWidth="1"/>
    <col min="41" max="41" width="15.625" customWidth="1"/>
    <col min="42" max="42" width="15.25" customWidth="1"/>
    <col min="43" max="43" width="4.625" customWidth="1"/>
    <col min="44" max="44" width="15.25" customWidth="1"/>
    <col min="45" max="45" width="1.625" customWidth="1"/>
    <col min="46" max="52" width="2.25" hidden="1" customWidth="1"/>
    <col min="53" max="107" width="9.125" hidden="1" customWidth="1"/>
    <col min="108" max="111" width="3.5" hidden="1" customWidth="1"/>
    <col min="112" max="16384" width="9.125" hidden="1"/>
  </cols>
  <sheetData>
    <row r="1" spans="1:111" ht="19.5" customHeight="1" x14ac:dyDescent="0.15">
      <c r="A1" s="19"/>
      <c r="AJ1" s="2" t="s">
        <v>0</v>
      </c>
    </row>
    <row r="2" spans="1:111" ht="19.5" customHeight="1" x14ac:dyDescent="0.15">
      <c r="A2" s="2"/>
    </row>
    <row r="3" spans="1:111" ht="19.5" customHeight="1" x14ac:dyDescent="0.15">
      <c r="Q3" s="3" t="s">
        <v>25</v>
      </c>
    </row>
    <row r="4" spans="1:111" ht="19.5" customHeight="1" x14ac:dyDescent="0.15">
      <c r="A4" s="3"/>
    </row>
    <row r="5" spans="1:111" ht="19.5" customHeight="1" x14ac:dyDescent="0.15">
      <c r="G5" s="4"/>
      <c r="S5" s="224" t="s">
        <v>22</v>
      </c>
      <c r="T5" s="224"/>
      <c r="U5" s="224"/>
      <c r="V5" s="225"/>
      <c r="W5" s="225"/>
      <c r="X5" s="225"/>
      <c r="Y5" s="225"/>
      <c r="Z5" s="225"/>
      <c r="AA5" s="225"/>
      <c r="AB5" s="225"/>
      <c r="AC5" s="225"/>
      <c r="AD5" s="225"/>
      <c r="AE5" s="225"/>
      <c r="AF5" s="225"/>
      <c r="AG5" s="225"/>
      <c r="AH5" s="225"/>
      <c r="AI5" s="225"/>
      <c r="AJ5" s="225"/>
    </row>
    <row r="6" spans="1:111" ht="19.5" customHeight="1" x14ac:dyDescent="0.15">
      <c r="A6" s="5"/>
    </row>
    <row r="7" spans="1:111" ht="16.350000000000001" customHeight="1" x14ac:dyDescent="0.15">
      <c r="A7" s="6" t="s">
        <v>1</v>
      </c>
      <c r="AM7" s="20"/>
      <c r="AN7" s="20"/>
      <c r="AO7" s="20"/>
      <c r="AP7" s="20"/>
      <c r="AQ7" s="20"/>
      <c r="AR7" s="20"/>
    </row>
    <row r="8" spans="1:111" ht="16.350000000000001" customHeight="1" x14ac:dyDescent="0.15">
      <c r="AJ8" s="7" t="s">
        <v>2</v>
      </c>
      <c r="AL8" s="246"/>
      <c r="AM8" s="246"/>
      <c r="AN8" s="246"/>
      <c r="AO8" s="246"/>
      <c r="AP8" s="246"/>
      <c r="AQ8" s="246"/>
      <c r="AR8" s="246"/>
      <c r="AS8" s="246"/>
    </row>
    <row r="9" spans="1:111" ht="16.350000000000001" customHeight="1" x14ac:dyDescent="0.15">
      <c r="A9" s="226" t="s">
        <v>24</v>
      </c>
      <c r="B9" s="227"/>
      <c r="C9" s="227"/>
      <c r="D9" s="227"/>
      <c r="E9" s="227"/>
      <c r="F9" s="228"/>
      <c r="G9" s="232" t="s">
        <v>23</v>
      </c>
      <c r="H9" s="233"/>
      <c r="I9" s="233"/>
      <c r="J9" s="233"/>
      <c r="K9" s="233"/>
      <c r="L9" s="233"/>
      <c r="M9" s="233"/>
      <c r="N9" s="233"/>
      <c r="O9" s="233"/>
      <c r="P9" s="233"/>
      <c r="Q9" s="233"/>
      <c r="R9" s="233"/>
      <c r="S9" s="233"/>
      <c r="T9" s="233"/>
      <c r="U9" s="233"/>
      <c r="V9" s="232" t="s">
        <v>9</v>
      </c>
      <c r="W9" s="233"/>
      <c r="X9" s="233"/>
      <c r="Y9" s="233"/>
      <c r="Z9" s="233"/>
      <c r="AA9" s="233"/>
      <c r="AB9" s="233"/>
      <c r="AC9" s="233"/>
      <c r="AD9" s="236"/>
      <c r="AE9" s="238" t="s">
        <v>26</v>
      </c>
      <c r="AF9" s="239"/>
      <c r="AG9" s="239"/>
      <c r="AH9" s="239"/>
      <c r="AI9" s="239"/>
      <c r="AJ9" s="240"/>
      <c r="AK9" s="18"/>
      <c r="AL9" s="246" t="s">
        <v>163</v>
      </c>
      <c r="AM9" s="246"/>
      <c r="AN9" s="246"/>
      <c r="AO9" s="246"/>
      <c r="AP9" s="246"/>
      <c r="AQ9" s="246"/>
      <c r="AR9" s="246"/>
      <c r="AS9" s="246"/>
    </row>
    <row r="10" spans="1:111" ht="16.350000000000001" customHeight="1" x14ac:dyDescent="0.15">
      <c r="A10" s="229"/>
      <c r="B10" s="230"/>
      <c r="C10" s="230"/>
      <c r="D10" s="230"/>
      <c r="E10" s="230"/>
      <c r="F10" s="231"/>
      <c r="G10" s="234"/>
      <c r="H10" s="235"/>
      <c r="I10" s="235"/>
      <c r="J10" s="235"/>
      <c r="K10" s="235"/>
      <c r="L10" s="235"/>
      <c r="M10" s="235"/>
      <c r="N10" s="235"/>
      <c r="O10" s="235"/>
      <c r="P10" s="235"/>
      <c r="Q10" s="235"/>
      <c r="R10" s="235"/>
      <c r="S10" s="235"/>
      <c r="T10" s="235"/>
      <c r="U10" s="235"/>
      <c r="V10" s="234"/>
      <c r="W10" s="235"/>
      <c r="X10" s="235"/>
      <c r="Y10" s="235"/>
      <c r="Z10" s="235"/>
      <c r="AA10" s="235"/>
      <c r="AB10" s="235"/>
      <c r="AC10" s="235"/>
      <c r="AD10" s="237"/>
      <c r="AE10" s="241" t="s">
        <v>162</v>
      </c>
      <c r="AF10" s="242"/>
      <c r="AG10" s="242"/>
      <c r="AH10" s="242"/>
      <c r="AI10" s="242"/>
      <c r="AJ10" s="243"/>
      <c r="AK10" s="18"/>
      <c r="AL10" s="246" t="s">
        <v>164</v>
      </c>
      <c r="AM10" s="246"/>
      <c r="AN10" s="246"/>
      <c r="AO10" s="246"/>
      <c r="AP10" s="246"/>
      <c r="AQ10" s="246"/>
      <c r="AR10" s="246"/>
      <c r="AS10" s="246"/>
    </row>
    <row r="11" spans="1:111" s="16" customFormat="1" ht="25.9" customHeight="1" x14ac:dyDescent="0.15">
      <c r="A11" s="208"/>
      <c r="B11" s="209"/>
      <c r="C11" s="209"/>
      <c r="D11" s="209"/>
      <c r="E11" s="209"/>
      <c r="F11" s="210"/>
      <c r="G11" s="208"/>
      <c r="H11" s="209"/>
      <c r="I11" s="209"/>
      <c r="J11" s="209"/>
      <c r="K11" s="209"/>
      <c r="L11" s="209"/>
      <c r="M11" s="209"/>
      <c r="N11" s="209"/>
      <c r="O11" s="209"/>
      <c r="P11" s="209"/>
      <c r="Q11" s="209"/>
      <c r="R11" s="209"/>
      <c r="S11" s="209"/>
      <c r="T11" s="209"/>
      <c r="U11" s="209"/>
      <c r="V11" s="211"/>
      <c r="W11" s="212"/>
      <c r="X11" s="212"/>
      <c r="Y11" s="212"/>
      <c r="Z11" s="212"/>
      <c r="AA11" s="212"/>
      <c r="AB11" s="212"/>
      <c r="AC11" s="212"/>
      <c r="AD11" s="213"/>
      <c r="AE11" s="141"/>
      <c r="AF11" s="142"/>
      <c r="AG11" s="142"/>
      <c r="AH11" s="142"/>
      <c r="AI11" s="142"/>
      <c r="AJ11" s="143"/>
      <c r="AK11" s="33"/>
      <c r="AL11" s="247" t="s">
        <v>165</v>
      </c>
      <c r="AM11" s="247"/>
      <c r="AN11" s="247"/>
      <c r="AO11" s="247"/>
      <c r="AP11" s="247"/>
      <c r="AQ11" s="247"/>
      <c r="AR11" s="247"/>
      <c r="AS11" s="247"/>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 customHeight="1" x14ac:dyDescent="0.15">
      <c r="A12" s="208"/>
      <c r="B12" s="209"/>
      <c r="C12" s="209"/>
      <c r="D12" s="209"/>
      <c r="E12" s="209"/>
      <c r="F12" s="210"/>
      <c r="G12" s="208"/>
      <c r="H12" s="209"/>
      <c r="I12" s="209"/>
      <c r="J12" s="209"/>
      <c r="K12" s="209"/>
      <c r="L12" s="209"/>
      <c r="M12" s="209"/>
      <c r="N12" s="209"/>
      <c r="O12" s="209"/>
      <c r="P12" s="209"/>
      <c r="Q12" s="209"/>
      <c r="R12" s="209"/>
      <c r="S12" s="209"/>
      <c r="T12" s="209"/>
      <c r="U12" s="209"/>
      <c r="V12" s="211"/>
      <c r="W12" s="212"/>
      <c r="X12" s="212"/>
      <c r="Y12" s="212"/>
      <c r="Z12" s="212"/>
      <c r="AA12" s="212"/>
      <c r="AB12" s="212"/>
      <c r="AC12" s="212"/>
      <c r="AD12" s="213"/>
      <c r="AE12" s="141"/>
      <c r="AF12" s="142"/>
      <c r="AG12" s="142"/>
      <c r="AH12" s="142"/>
      <c r="AI12" s="142"/>
      <c r="AJ12" s="143"/>
      <c r="AK12" s="33"/>
      <c r="AL12" s="248" t="s">
        <v>166</v>
      </c>
      <c r="AM12" s="248"/>
      <c r="AN12" s="248"/>
      <c r="AO12" s="248"/>
      <c r="AP12" s="248"/>
      <c r="AQ12" s="248"/>
      <c r="AR12" s="248"/>
      <c r="AS12" s="248"/>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 customHeight="1" x14ac:dyDescent="0.15">
      <c r="A13" s="208"/>
      <c r="B13" s="209"/>
      <c r="C13" s="209"/>
      <c r="D13" s="209"/>
      <c r="E13" s="209"/>
      <c r="F13" s="210"/>
      <c r="G13" s="208"/>
      <c r="H13" s="209"/>
      <c r="I13" s="209"/>
      <c r="J13" s="209"/>
      <c r="K13" s="209"/>
      <c r="L13" s="209"/>
      <c r="M13" s="209"/>
      <c r="N13" s="209"/>
      <c r="O13" s="209"/>
      <c r="P13" s="209"/>
      <c r="Q13" s="209"/>
      <c r="R13" s="209"/>
      <c r="S13" s="209"/>
      <c r="T13" s="209"/>
      <c r="U13" s="209"/>
      <c r="V13" s="211"/>
      <c r="W13" s="212"/>
      <c r="X13" s="212"/>
      <c r="Y13" s="212"/>
      <c r="Z13" s="212"/>
      <c r="AA13" s="212"/>
      <c r="AB13" s="212"/>
      <c r="AC13" s="212"/>
      <c r="AD13" s="213"/>
      <c r="AE13" s="141"/>
      <c r="AF13" s="142"/>
      <c r="AG13" s="142"/>
      <c r="AH13" s="142"/>
      <c r="AI13" s="142"/>
      <c r="AJ13" s="143"/>
      <c r="AK13" s="33"/>
      <c r="AL13" s="246"/>
      <c r="AM13" s="246"/>
      <c r="AN13" s="246"/>
      <c r="AO13" s="246"/>
      <c r="AP13" s="246"/>
      <c r="AQ13" s="246"/>
      <c r="AR13" s="246"/>
      <c r="AS13" s="246"/>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 customHeight="1" x14ac:dyDescent="0.15">
      <c r="A14" s="208"/>
      <c r="B14" s="209"/>
      <c r="C14" s="209"/>
      <c r="D14" s="209"/>
      <c r="E14" s="209"/>
      <c r="F14" s="210"/>
      <c r="G14" s="208"/>
      <c r="H14" s="209"/>
      <c r="I14" s="209"/>
      <c r="J14" s="209"/>
      <c r="K14" s="209"/>
      <c r="L14" s="209"/>
      <c r="M14" s="209"/>
      <c r="N14" s="209"/>
      <c r="O14" s="209"/>
      <c r="P14" s="209"/>
      <c r="Q14" s="209"/>
      <c r="R14" s="209"/>
      <c r="S14" s="209"/>
      <c r="T14" s="209"/>
      <c r="U14" s="209"/>
      <c r="V14" s="211"/>
      <c r="W14" s="212"/>
      <c r="X14" s="212"/>
      <c r="Y14" s="212"/>
      <c r="Z14" s="212"/>
      <c r="AA14" s="212"/>
      <c r="AB14" s="212"/>
      <c r="AC14" s="212"/>
      <c r="AD14" s="213"/>
      <c r="AE14" s="141"/>
      <c r="AF14" s="142"/>
      <c r="AG14" s="142"/>
      <c r="AH14" s="142"/>
      <c r="AI14" s="142"/>
      <c r="AJ14" s="143"/>
      <c r="AK14" s="33"/>
      <c r="AL14" s="249"/>
      <c r="AM14" s="249"/>
      <c r="AN14" s="249"/>
      <c r="AO14" s="249"/>
      <c r="AP14" s="249"/>
      <c r="AQ14" s="249"/>
      <c r="AR14" s="249"/>
      <c r="AS14" s="249"/>
      <c r="DD14" s="16" t="str">
        <f t="shared" ref="DD14" si="0">IF($A14="",IF(OR($G14&lt;&gt;"",$V14&lt;&gt;"",$AE14&gt;0),"×","〇"),"〇")</f>
        <v>〇</v>
      </c>
      <c r="DE14" s="16" t="str">
        <f t="shared" ref="DE14" si="1">IF($G14="",IF(OR($A14&lt;&gt;"",$V14&lt;&gt;"",$AE14&gt;0),"×","〇"),"〇")</f>
        <v>〇</v>
      </c>
      <c r="DF14" s="16" t="str">
        <f t="shared" ref="DF14" si="2">IF($V14="",IF(OR($A14&lt;&gt;"",$G14&lt;&gt;"",$AE14&gt;0),"×","〇"),"〇")</f>
        <v>〇</v>
      </c>
      <c r="DG14" s="16" t="str">
        <f t="shared" ref="DG14" si="3">IF($AE14&lt;1,IF(OR($A14&lt;&gt;"",$G14&lt;&gt;"",$V14&lt;&gt;""),"×","〇"),"〇")</f>
        <v>〇</v>
      </c>
    </row>
    <row r="15" spans="1:111" s="16" customFormat="1" ht="25.9" customHeight="1" x14ac:dyDescent="0.15">
      <c r="A15" s="208"/>
      <c r="B15" s="209"/>
      <c r="C15" s="209"/>
      <c r="D15" s="209"/>
      <c r="E15" s="209"/>
      <c r="F15" s="210"/>
      <c r="G15" s="208"/>
      <c r="H15" s="209"/>
      <c r="I15" s="209"/>
      <c r="J15" s="209"/>
      <c r="K15" s="209"/>
      <c r="L15" s="209"/>
      <c r="M15" s="209"/>
      <c r="N15" s="209"/>
      <c r="O15" s="209"/>
      <c r="P15" s="209"/>
      <c r="Q15" s="209"/>
      <c r="R15" s="209"/>
      <c r="S15" s="209"/>
      <c r="T15" s="209"/>
      <c r="U15" s="209"/>
      <c r="V15" s="211"/>
      <c r="W15" s="212"/>
      <c r="X15" s="212"/>
      <c r="Y15" s="212"/>
      <c r="Z15" s="212"/>
      <c r="AA15" s="212"/>
      <c r="AB15" s="212"/>
      <c r="AC15" s="212"/>
      <c r="AD15" s="213"/>
      <c r="AE15" s="141"/>
      <c r="AF15" s="142"/>
      <c r="AG15" s="142"/>
      <c r="AH15" s="142"/>
      <c r="AI15" s="142"/>
      <c r="AJ15" s="143"/>
      <c r="AK15" s="33"/>
      <c r="AL15" s="43"/>
      <c r="AM15" s="43"/>
      <c r="AN15" s="43"/>
      <c r="AO15" s="43"/>
      <c r="AP15" s="43"/>
      <c r="AQ15" s="43"/>
      <c r="AR15" s="43"/>
      <c r="AS15" s="43"/>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899999999999999" customHeight="1" x14ac:dyDescent="0.15">
      <c r="A16" s="183" t="s">
        <v>175</v>
      </c>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5"/>
      <c r="AE16" s="205">
        <f>ExpenseCategoryList!K$2</f>
        <v>0</v>
      </c>
      <c r="AF16" s="206"/>
      <c r="AG16" s="206"/>
      <c r="AH16" s="206"/>
      <c r="AI16" s="206"/>
      <c r="AJ16" s="207"/>
      <c r="AK16" s="18"/>
      <c r="AL16" s="38"/>
      <c r="AM16" s="39" t="s">
        <v>72</v>
      </c>
      <c r="AN16" s="103" t="s">
        <v>143</v>
      </c>
      <c r="AO16" s="103" t="s">
        <v>111</v>
      </c>
      <c r="AP16" s="43" t="s">
        <v>125</v>
      </c>
      <c r="AQ16" s="43"/>
      <c r="AR16" s="44"/>
      <c r="AS16" s="43"/>
    </row>
    <row r="17" spans="1:68" s="16" customFormat="1" ht="28.9" customHeight="1" x14ac:dyDescent="0.15">
      <c r="A17" s="186" t="s">
        <v>176</v>
      </c>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8"/>
      <c r="AE17" s="218">
        <v>0</v>
      </c>
      <c r="AF17" s="219"/>
      <c r="AG17" s="219"/>
      <c r="AH17" s="219"/>
      <c r="AI17" s="219"/>
      <c r="AJ17" s="220"/>
      <c r="AK17" s="18"/>
      <c r="AL17" s="38"/>
      <c r="AM17" s="41" t="str">
        <f>ExpenseCategoryList!E29</f>
        <v>×</v>
      </c>
      <c r="AN17" s="121">
        <f>IF(AP17=AR17,ExpenseCategoryList!I14,"")</f>
        <v>0</v>
      </c>
      <c r="AO17" s="42" t="str">
        <f>ExpenseCategoryList!J38</f>
        <v>0.00%</v>
      </c>
      <c r="AP17" s="64">
        <f>ExpenseCategoryList!I29</f>
        <v>0</v>
      </c>
      <c r="AQ17" s="45" t="s">
        <v>77</v>
      </c>
      <c r="AR17" s="64">
        <f>ExpenseCategoryList!G29</f>
        <v>0</v>
      </c>
      <c r="AS17" s="43"/>
    </row>
    <row r="18" spans="1:68" s="16" customFormat="1" ht="19.899999999999999" customHeight="1" x14ac:dyDescent="0.15">
      <c r="A18" s="183" t="s">
        <v>177</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5"/>
      <c r="AE18" s="205">
        <f>ExpenseCategoryList!$Q$2</f>
        <v>0</v>
      </c>
      <c r="AF18" s="206"/>
      <c r="AG18" s="206"/>
      <c r="AH18" s="206"/>
      <c r="AI18" s="206"/>
      <c r="AJ18" s="207"/>
      <c r="AK18" s="18"/>
      <c r="AL18" s="38"/>
      <c r="AM18" s="65"/>
      <c r="AN18" s="65"/>
      <c r="AO18" s="65"/>
      <c r="AP18" s="66"/>
      <c r="AQ18" s="66"/>
      <c r="AR18" s="66"/>
      <c r="AS18" s="43"/>
    </row>
    <row r="19" spans="1:68" s="16" customFormat="1" ht="28.9" customHeight="1" x14ac:dyDescent="0.15">
      <c r="A19" s="186" t="s">
        <v>181</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8"/>
      <c r="AE19" s="221">
        <f>ExpenseCategoryList!H40</f>
        <v>0</v>
      </c>
      <c r="AF19" s="222"/>
      <c r="AG19" s="222"/>
      <c r="AH19" s="222"/>
      <c r="AI19" s="222"/>
      <c r="AJ19" s="223"/>
      <c r="AK19" s="18"/>
      <c r="AL19" s="38"/>
      <c r="AM19" s="67" t="str">
        <f>ExpenseCategoryList!E31</f>
        <v>〇</v>
      </c>
      <c r="AN19" s="121">
        <f>IF(AP17=AR17,ExpenseCategoryList!I18,"")</f>
        <v>0</v>
      </c>
      <c r="AO19" s="68" t="str">
        <f>ExpenseCategoryList!J40</f>
        <v/>
      </c>
      <c r="AP19" s="104"/>
      <c r="AQ19" s="69"/>
      <c r="AR19" s="104"/>
      <c r="AS19" s="43"/>
    </row>
    <row r="20" spans="1:68" ht="19.5" customHeight="1" x14ac:dyDescent="0.15">
      <c r="A20" s="183" t="s">
        <v>178</v>
      </c>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5"/>
      <c r="AE20" s="205">
        <f>ExpenseCategoryList!$D$2</f>
        <v>0</v>
      </c>
      <c r="AF20" s="206"/>
      <c r="AG20" s="206"/>
      <c r="AH20" s="206"/>
      <c r="AI20" s="206"/>
      <c r="AJ20" s="207"/>
      <c r="AK20" s="18"/>
      <c r="AL20" s="38"/>
      <c r="AM20" s="65"/>
      <c r="AN20" s="65"/>
      <c r="AO20" s="65"/>
      <c r="AP20" s="70"/>
      <c r="AQ20" s="70"/>
      <c r="AR20" s="70"/>
    </row>
    <row r="21" spans="1:68" ht="19.5" customHeight="1" x14ac:dyDescent="0.15">
      <c r="A21" s="214" t="s">
        <v>179</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6"/>
      <c r="AE21" s="205">
        <f>ExpenseCategoryList!J20</f>
        <v>0</v>
      </c>
      <c r="AF21" s="206"/>
      <c r="AG21" s="206"/>
      <c r="AH21" s="206"/>
      <c r="AI21" s="206"/>
      <c r="AJ21" s="207"/>
      <c r="AK21" s="120" t="str">
        <f>ExpenseCategoryList!E46</f>
        <v/>
      </c>
      <c r="AL21" s="38"/>
      <c r="AM21" s="67" t="str">
        <f>ExpenseCategoryList!E33</f>
        <v>〇</v>
      </c>
      <c r="AN21" s="121">
        <f>IF(AP17=AR17,ExpenseCategoryList!I22,"")</f>
        <v>0</v>
      </c>
      <c r="AO21" s="103" t="s">
        <v>117</v>
      </c>
      <c r="AP21" s="104"/>
      <c r="AQ21" s="71"/>
      <c r="AR21" s="104"/>
      <c r="AS21" s="44"/>
    </row>
    <row r="22" spans="1:68" ht="19.5" customHeight="1" x14ac:dyDescent="0.15">
      <c r="A22" s="197" t="s">
        <v>180</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8" t="str">
        <f>ExpenseCategoryList!$R$2</f>
        <v>いいえ</v>
      </c>
      <c r="AF22" s="198"/>
      <c r="AG22" s="198"/>
      <c r="AH22" s="198"/>
      <c r="AI22" s="198"/>
      <c r="AJ22" s="198"/>
      <c r="AM22" s="67" t="str">
        <f>ExpenseCategoryList!E34</f>
        <v>×</v>
      </c>
      <c r="AN22" s="68"/>
      <c r="AO22" s="68" t="str">
        <f>ExpenseCategoryList!J42</f>
        <v/>
      </c>
      <c r="AP22" s="68"/>
      <c r="AQ22" s="68"/>
      <c r="AR22" s="68"/>
      <c r="AS22" s="40"/>
    </row>
    <row r="23" spans="1:68" ht="17.649999999999999" customHeight="1" x14ac:dyDescent="0.15">
      <c r="A23" s="217" t="s">
        <v>51</v>
      </c>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8"/>
      <c r="AM23" s="72"/>
      <c r="AN23" s="72"/>
      <c r="AO23" s="70"/>
      <c r="AP23" s="70"/>
      <c r="AQ23" s="70"/>
      <c r="AR23" s="70"/>
    </row>
    <row r="24" spans="1:68" ht="17.649999999999999" customHeight="1" x14ac:dyDescent="0.15">
      <c r="A24" s="217" t="s">
        <v>29</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8"/>
      <c r="AM24" s="123" t="s">
        <v>119</v>
      </c>
      <c r="AN24" s="122" t="str">
        <f xml:space="preserve"> ExpenseCategoryList!E38</f>
        <v/>
      </c>
      <c r="AO24" s="124" t="s">
        <v>144</v>
      </c>
      <c r="AP24" s="137" t="str">
        <f xml:space="preserve"> ExpenseCategoryList!E40</f>
        <v/>
      </c>
      <c r="AQ24" s="70"/>
      <c r="AR24" s="70"/>
    </row>
    <row r="25" spans="1:68" ht="17.649999999999999" customHeight="1" x14ac:dyDescent="0.15">
      <c r="A25" s="204" t="s">
        <v>158</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7"/>
      <c r="AM25" s="150"/>
      <c r="AN25" s="150"/>
      <c r="AO25" s="150"/>
      <c r="AP25" s="150"/>
      <c r="AQ25" s="150"/>
      <c r="AR25" s="150"/>
      <c r="AS25" s="150"/>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row>
    <row r="26" spans="1:68" ht="30" customHeight="1" x14ac:dyDescent="0.15">
      <c r="A26" s="244" t="s">
        <v>161</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138"/>
      <c r="AM26" s="149" t="str">
        <f>ExpenseCategoryList!E48 &amp; ExpenseCategoryList!E49</f>
        <v/>
      </c>
      <c r="AN26" s="149"/>
      <c r="AO26" s="149"/>
      <c r="AP26" s="149"/>
      <c r="AQ26" s="149"/>
      <c r="AR26" s="149"/>
      <c r="AS26" s="149"/>
    </row>
    <row r="27" spans="1:68" ht="17.649999999999999" customHeight="1" x14ac:dyDescent="0.15">
      <c r="A27" s="189" t="s">
        <v>160</v>
      </c>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28"/>
      <c r="AM27" s="114"/>
      <c r="AN27" s="114"/>
      <c r="AO27" s="114"/>
      <c r="AP27" s="114"/>
      <c r="AQ27" s="114"/>
      <c r="AR27" s="114"/>
      <c r="AS27" s="114"/>
    </row>
    <row r="28" spans="1:68" ht="17.649999999999999" customHeight="1" x14ac:dyDescent="0.15">
      <c r="A28" s="189" t="s">
        <v>55</v>
      </c>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30"/>
      <c r="AM28" s="245"/>
      <c r="AN28" s="245"/>
      <c r="AO28" s="245"/>
      <c r="AP28" s="245"/>
      <c r="AQ28" s="245"/>
      <c r="AR28" s="245"/>
    </row>
    <row r="29" spans="1:68" ht="17.649999999999999" customHeight="1" x14ac:dyDescent="0.15">
      <c r="A29" s="140" t="s">
        <v>159</v>
      </c>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30"/>
      <c r="AM29" t="s">
        <v>126</v>
      </c>
    </row>
    <row r="30" spans="1:68" ht="17.649999999999999" customHeight="1" x14ac:dyDescent="0.15">
      <c r="A30" s="140"/>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29"/>
      <c r="AM30" t="s">
        <v>127</v>
      </c>
    </row>
    <row r="31" spans="1:68" ht="17.649999999999999" customHeight="1" x14ac:dyDescent="0.15">
      <c r="A31" s="189"/>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31"/>
      <c r="AM31" t="s">
        <v>128</v>
      </c>
    </row>
    <row r="32" spans="1:68" ht="28.9" customHeight="1" x14ac:dyDescent="0.15">
      <c r="A32" s="195" t="s">
        <v>56</v>
      </c>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21"/>
      <c r="AM32" t="s">
        <v>129</v>
      </c>
    </row>
    <row r="33" spans="1:39" ht="22.9" customHeight="1" thickBot="1" x14ac:dyDescent="0.2">
      <c r="A33" s="190" t="s">
        <v>30</v>
      </c>
      <c r="B33" s="152"/>
      <c r="C33" s="152"/>
      <c r="D33" s="152"/>
      <c r="E33" s="152"/>
      <c r="F33" s="191"/>
      <c r="G33" s="191"/>
      <c r="H33" s="191"/>
      <c r="I33" s="191"/>
      <c r="J33" s="152" t="s">
        <v>36</v>
      </c>
      <c r="K33" s="152"/>
      <c r="L33" s="152"/>
      <c r="M33" s="152"/>
      <c r="N33" s="155" t="s">
        <v>39</v>
      </c>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21"/>
      <c r="AL33" s="21"/>
    </row>
    <row r="34" spans="1:39" ht="22.9" customHeight="1" thickTop="1" x14ac:dyDescent="0.15">
      <c r="A34" s="199" t="s">
        <v>68</v>
      </c>
      <c r="B34" s="200"/>
      <c r="C34" s="200"/>
      <c r="D34" s="200"/>
      <c r="E34" s="200"/>
      <c r="F34" s="36"/>
      <c r="G34" s="201" t="s">
        <v>41</v>
      </c>
      <c r="H34" s="201"/>
      <c r="I34" s="37"/>
      <c r="J34" s="156" t="s">
        <v>69</v>
      </c>
      <c r="K34" s="156"/>
      <c r="L34" s="156"/>
      <c r="M34" s="153"/>
      <c r="N34" s="157" t="s">
        <v>70</v>
      </c>
      <c r="O34" s="158"/>
      <c r="P34" s="158"/>
      <c r="Q34" s="158"/>
      <c r="R34" s="158"/>
      <c r="S34" s="158"/>
      <c r="T34" s="158"/>
      <c r="U34" s="158"/>
      <c r="V34" s="158"/>
      <c r="W34" s="158"/>
      <c r="X34" s="158"/>
      <c r="Y34" s="158"/>
      <c r="Z34" s="158"/>
      <c r="AA34" s="158"/>
      <c r="AB34" s="158"/>
      <c r="AC34" s="158"/>
      <c r="AD34" s="158"/>
      <c r="AE34" s="158"/>
      <c r="AF34" s="158"/>
      <c r="AG34" s="158"/>
      <c r="AH34" s="158"/>
      <c r="AI34" s="158"/>
      <c r="AJ34" s="159"/>
      <c r="AK34" s="21"/>
      <c r="AL34" s="21"/>
      <c r="AM34" t="s">
        <v>132</v>
      </c>
    </row>
    <row r="35" spans="1:39" ht="46.15" customHeight="1" x14ac:dyDescent="0.15">
      <c r="A35" s="192" t="s">
        <v>31</v>
      </c>
      <c r="B35" s="154"/>
      <c r="C35" s="154"/>
      <c r="D35" s="154"/>
      <c r="E35" s="160"/>
      <c r="F35" s="34"/>
      <c r="G35" s="161" t="s">
        <v>41</v>
      </c>
      <c r="H35" s="161"/>
      <c r="I35" s="35"/>
      <c r="J35" s="153" t="s">
        <v>37</v>
      </c>
      <c r="K35" s="154"/>
      <c r="L35" s="154"/>
      <c r="M35" s="154"/>
      <c r="N35" s="151" t="s">
        <v>170</v>
      </c>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21"/>
      <c r="AL35" s="21"/>
      <c r="AM35" t="s">
        <v>130</v>
      </c>
    </row>
    <row r="36" spans="1:39" ht="22.9" customHeight="1" x14ac:dyDescent="0.15">
      <c r="A36" s="22"/>
      <c r="B36" s="193" t="s">
        <v>121</v>
      </c>
      <c r="C36" s="193"/>
      <c r="D36" s="193"/>
      <c r="E36" s="194"/>
      <c r="F36" s="23"/>
      <c r="G36" s="162" t="s">
        <v>41</v>
      </c>
      <c r="H36" s="162"/>
      <c r="I36" s="25"/>
      <c r="J36" s="153"/>
      <c r="K36" s="154"/>
      <c r="L36" s="154"/>
      <c r="M36" s="154"/>
      <c r="N36" s="151" t="s">
        <v>171</v>
      </c>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21"/>
      <c r="AL36" s="21"/>
      <c r="AM36" t="s">
        <v>131</v>
      </c>
    </row>
    <row r="37" spans="1:39" ht="22.9" customHeight="1" x14ac:dyDescent="0.15">
      <c r="A37" s="154" t="s">
        <v>32</v>
      </c>
      <c r="B37" s="154"/>
      <c r="C37" s="154"/>
      <c r="D37" s="154"/>
      <c r="E37" s="160"/>
      <c r="F37" s="23"/>
      <c r="G37" s="169" t="s">
        <v>41</v>
      </c>
      <c r="H37" s="169"/>
      <c r="I37" s="25"/>
      <c r="J37" s="153"/>
      <c r="K37" s="154"/>
      <c r="L37" s="154"/>
      <c r="M37" s="154"/>
      <c r="N37" s="151" t="s">
        <v>172</v>
      </c>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21"/>
      <c r="AL37" s="21"/>
    </row>
    <row r="38" spans="1:39" ht="22.9" customHeight="1" x14ac:dyDescent="0.15">
      <c r="A38" s="154" t="s">
        <v>33</v>
      </c>
      <c r="B38" s="154"/>
      <c r="C38" s="154"/>
      <c r="D38" s="154"/>
      <c r="E38" s="160"/>
      <c r="F38" s="23"/>
      <c r="G38" s="169" t="s">
        <v>41</v>
      </c>
      <c r="H38" s="169"/>
      <c r="I38" s="25"/>
      <c r="J38" s="153"/>
      <c r="K38" s="154"/>
      <c r="L38" s="154"/>
      <c r="M38" s="154"/>
      <c r="N38" s="151" t="s">
        <v>40</v>
      </c>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21"/>
      <c r="AL38" s="21"/>
      <c r="AM38" t="s">
        <v>120</v>
      </c>
    </row>
    <row r="39" spans="1:39" ht="39.6" customHeight="1" x14ac:dyDescent="0.15">
      <c r="A39" s="154" t="s">
        <v>34</v>
      </c>
      <c r="B39" s="154"/>
      <c r="C39" s="154"/>
      <c r="D39" s="154"/>
      <c r="E39" s="160"/>
      <c r="F39" s="23"/>
      <c r="G39" s="169" t="s">
        <v>41</v>
      </c>
      <c r="H39" s="169"/>
      <c r="I39" s="25"/>
      <c r="J39" s="153"/>
      <c r="K39" s="154"/>
      <c r="L39" s="154"/>
      <c r="M39" s="154"/>
      <c r="N39" s="151" t="s">
        <v>173</v>
      </c>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21"/>
      <c r="AL39" s="21"/>
      <c r="AM39" t="s">
        <v>147</v>
      </c>
    </row>
    <row r="40" spans="1:39" ht="34.15" customHeight="1" thickBot="1" x14ac:dyDescent="0.2">
      <c r="A40" s="154" t="s">
        <v>35</v>
      </c>
      <c r="B40" s="154"/>
      <c r="C40" s="154"/>
      <c r="D40" s="154"/>
      <c r="E40" s="160"/>
      <c r="F40" s="24"/>
      <c r="G40" s="202" t="s">
        <v>41</v>
      </c>
      <c r="H40" s="202"/>
      <c r="I40" s="26"/>
      <c r="J40" s="153" t="s">
        <v>38</v>
      </c>
      <c r="K40" s="154"/>
      <c r="L40" s="154"/>
      <c r="M40" s="154"/>
      <c r="N40" s="151" t="s">
        <v>174</v>
      </c>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21"/>
      <c r="AL40" s="21"/>
    </row>
    <row r="41" spans="1:39" ht="19.5" customHeight="1" thickTop="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M41" t="s">
        <v>122</v>
      </c>
    </row>
    <row r="42" spans="1:39" ht="19.5" customHeight="1" x14ac:dyDescent="0.15">
      <c r="A42" s="9" t="s">
        <v>3</v>
      </c>
      <c r="AM42" t="s">
        <v>148</v>
      </c>
    </row>
    <row r="43" spans="1:39" ht="19.5" customHeight="1" x14ac:dyDescent="0.15">
      <c r="A43" s="9" t="s">
        <v>124</v>
      </c>
      <c r="AM43" t="s">
        <v>123</v>
      </c>
    </row>
    <row r="44" spans="1:39" ht="39" customHeight="1" x14ac:dyDescent="0.15">
      <c r="A44" s="175" t="s">
        <v>4</v>
      </c>
      <c r="B44" s="176"/>
      <c r="C44" s="176"/>
      <c r="D44" s="176"/>
      <c r="E44" s="176"/>
      <c r="F44" s="176"/>
      <c r="G44" s="177" t="s">
        <v>7</v>
      </c>
      <c r="H44" s="178"/>
      <c r="I44" s="178"/>
      <c r="J44" s="178"/>
      <c r="K44" s="178"/>
      <c r="L44" s="179"/>
      <c r="M44" s="177" t="s">
        <v>6</v>
      </c>
      <c r="N44" s="178"/>
      <c r="O44" s="178"/>
      <c r="P44" s="178"/>
      <c r="Q44" s="179"/>
      <c r="T44" s="175" t="s">
        <v>4</v>
      </c>
      <c r="U44" s="175"/>
      <c r="V44" s="175"/>
      <c r="W44" s="175"/>
      <c r="X44" s="175"/>
      <c r="Y44" s="175"/>
      <c r="Z44" s="175"/>
      <c r="AA44" s="180" t="s">
        <v>7</v>
      </c>
      <c r="AB44" s="181"/>
      <c r="AC44" s="181"/>
      <c r="AD44" s="181"/>
      <c r="AE44" s="182"/>
      <c r="AF44" s="203" t="s">
        <v>6</v>
      </c>
      <c r="AG44" s="203"/>
      <c r="AH44" s="203"/>
      <c r="AI44" s="203"/>
      <c r="AJ44" s="203"/>
      <c r="AK44" s="18"/>
      <c r="AM44" t="s">
        <v>149</v>
      </c>
    </row>
    <row r="45" spans="1:39" ht="19.5" customHeight="1" x14ac:dyDescent="0.15">
      <c r="A45" s="147" t="s">
        <v>19</v>
      </c>
      <c r="B45" s="148"/>
      <c r="C45" s="148"/>
      <c r="D45" s="148"/>
      <c r="E45" s="148"/>
      <c r="F45" s="148"/>
      <c r="G45" s="141">
        <v>0</v>
      </c>
      <c r="H45" s="142"/>
      <c r="I45" s="142"/>
      <c r="J45" s="142"/>
      <c r="K45" s="142"/>
      <c r="L45" s="143"/>
      <c r="M45" s="144"/>
      <c r="N45" s="145"/>
      <c r="O45" s="145"/>
      <c r="P45" s="145"/>
      <c r="Q45" s="146"/>
      <c r="T45" s="147" t="s">
        <v>13</v>
      </c>
      <c r="U45" s="148"/>
      <c r="V45" s="148"/>
      <c r="W45" s="148"/>
      <c r="X45" s="148"/>
      <c r="Y45" s="148"/>
      <c r="Z45" s="148"/>
      <c r="AA45" s="171">
        <v>0</v>
      </c>
      <c r="AB45" s="172"/>
      <c r="AC45" s="172"/>
      <c r="AD45" s="172"/>
      <c r="AE45" s="173"/>
      <c r="AF45" s="174"/>
      <c r="AG45" s="174"/>
      <c r="AH45" s="174"/>
      <c r="AI45" s="174"/>
      <c r="AJ45" s="174"/>
      <c r="AK45" s="18"/>
      <c r="AM45" t="s">
        <v>123</v>
      </c>
    </row>
    <row r="46" spans="1:39" ht="39" customHeight="1" x14ac:dyDescent="0.15">
      <c r="A46" s="147" t="s">
        <v>16</v>
      </c>
      <c r="B46" s="148"/>
      <c r="C46" s="148"/>
      <c r="D46" s="148"/>
      <c r="E46" s="148"/>
      <c r="F46" s="148"/>
      <c r="G46" s="166">
        <f>AA45+AA46+AA47</f>
        <v>0</v>
      </c>
      <c r="H46" s="167"/>
      <c r="I46" s="167"/>
      <c r="J46" s="167"/>
      <c r="K46" s="167"/>
      <c r="L46" s="168"/>
      <c r="M46" s="144"/>
      <c r="N46" s="145"/>
      <c r="O46" s="145"/>
      <c r="P46" s="145"/>
      <c r="Q46" s="146"/>
      <c r="T46" s="147" t="s">
        <v>14</v>
      </c>
      <c r="U46" s="148"/>
      <c r="V46" s="148"/>
      <c r="W46" s="148"/>
      <c r="X46" s="148"/>
      <c r="Y46" s="148"/>
      <c r="Z46" s="148"/>
      <c r="AA46" s="171">
        <v>0</v>
      </c>
      <c r="AB46" s="172"/>
      <c r="AC46" s="172"/>
      <c r="AD46" s="172"/>
      <c r="AE46" s="173"/>
      <c r="AF46" s="170"/>
      <c r="AG46" s="170"/>
      <c r="AH46" s="170"/>
      <c r="AI46" s="170"/>
      <c r="AJ46" s="170"/>
      <c r="AK46" s="18"/>
      <c r="AM46" t="s">
        <v>150</v>
      </c>
    </row>
    <row r="47" spans="1:39" ht="39" customHeight="1" x14ac:dyDescent="0.15">
      <c r="A47" s="147" t="s">
        <v>17</v>
      </c>
      <c r="B47" s="148"/>
      <c r="C47" s="148"/>
      <c r="D47" s="148"/>
      <c r="E47" s="148"/>
      <c r="F47" s="148"/>
      <c r="G47" s="141">
        <v>0</v>
      </c>
      <c r="H47" s="142"/>
      <c r="I47" s="142"/>
      <c r="J47" s="142"/>
      <c r="K47" s="142"/>
      <c r="L47" s="143"/>
      <c r="M47" s="170"/>
      <c r="N47" s="170"/>
      <c r="O47" s="170"/>
      <c r="P47" s="170"/>
      <c r="Q47" s="170"/>
      <c r="T47" s="147" t="s">
        <v>15</v>
      </c>
      <c r="U47" s="148"/>
      <c r="V47" s="148"/>
      <c r="W47" s="148"/>
      <c r="X47" s="148"/>
      <c r="Y47" s="148"/>
      <c r="Z47" s="148"/>
      <c r="AA47" s="171">
        <v>0</v>
      </c>
      <c r="AB47" s="172"/>
      <c r="AC47" s="172"/>
      <c r="AD47" s="172"/>
      <c r="AE47" s="173"/>
      <c r="AF47" s="170"/>
      <c r="AG47" s="170"/>
      <c r="AH47" s="170"/>
      <c r="AI47" s="170"/>
      <c r="AJ47" s="170"/>
      <c r="AK47" s="18"/>
      <c r="AM47" t="s">
        <v>146</v>
      </c>
    </row>
    <row r="48" spans="1:39" ht="19.5" customHeight="1" x14ac:dyDescent="0.15">
      <c r="A48" s="147" t="s">
        <v>18</v>
      </c>
      <c r="B48" s="148"/>
      <c r="C48" s="148"/>
      <c r="D48" s="148"/>
      <c r="E48" s="148"/>
      <c r="F48" s="148"/>
      <c r="G48" s="141">
        <v>0</v>
      </c>
      <c r="H48" s="142"/>
      <c r="I48" s="142"/>
      <c r="J48" s="142"/>
      <c r="K48" s="142"/>
      <c r="L48" s="143"/>
      <c r="M48" s="163"/>
      <c r="N48" s="164"/>
      <c r="O48" s="164"/>
      <c r="P48" s="164"/>
      <c r="Q48" s="165"/>
      <c r="AM48" s="39" t="s">
        <v>72</v>
      </c>
    </row>
    <row r="49" spans="1:39" ht="39" customHeight="1" x14ac:dyDescent="0.15">
      <c r="A49" s="147" t="s">
        <v>8</v>
      </c>
      <c r="B49" s="148"/>
      <c r="C49" s="148"/>
      <c r="D49" s="148"/>
      <c r="E49" s="148"/>
      <c r="F49" s="148"/>
      <c r="G49" s="166">
        <f>G45+G46+G47+G48</f>
        <v>0</v>
      </c>
      <c r="H49" s="167"/>
      <c r="I49" s="167"/>
      <c r="J49" s="167"/>
      <c r="K49" s="167"/>
      <c r="L49" s="168"/>
      <c r="M49" s="144"/>
      <c r="N49" s="145"/>
      <c r="O49" s="145"/>
      <c r="P49" s="145"/>
      <c r="Q49" s="146"/>
      <c r="AM49" s="67" t="str">
        <f>ExpenseCategoryList!D57</f>
        <v>〇</v>
      </c>
    </row>
    <row r="50" spans="1:39" ht="19.5" customHeight="1" x14ac:dyDescent="0.15">
      <c r="A50" s="10"/>
      <c r="B50" s="11"/>
      <c r="C50" s="11"/>
      <c r="D50" s="11"/>
      <c r="E50" s="11"/>
      <c r="F50" s="11"/>
      <c r="G50" s="12"/>
      <c r="H50" s="11"/>
      <c r="I50" s="11"/>
      <c r="J50" s="11"/>
      <c r="K50" s="11"/>
      <c r="L50" s="13"/>
      <c r="M50" s="11"/>
      <c r="N50" s="11"/>
      <c r="O50" s="11"/>
      <c r="P50" s="11"/>
    </row>
    <row r="51" spans="1:39" ht="19.5" customHeight="1" x14ac:dyDescent="0.15">
      <c r="A51" s="8" t="s">
        <v>167</v>
      </c>
    </row>
    <row r="52" spans="1:39" ht="19.5" customHeight="1" x14ac:dyDescent="0.15">
      <c r="A52" s="8" t="s">
        <v>168</v>
      </c>
    </row>
    <row r="53" spans="1:39" ht="19.5" customHeight="1" x14ac:dyDescent="0.15">
      <c r="A53" s="8" t="s">
        <v>5</v>
      </c>
    </row>
    <row r="54" spans="1:39" ht="19.5" customHeight="1" x14ac:dyDescent="0.15">
      <c r="A54" s="14" t="s">
        <v>20</v>
      </c>
      <c r="AK54" s="139" t="s">
        <v>169</v>
      </c>
    </row>
  </sheetData>
  <sheetProtection algorithmName="SHA-512" hashValue="6Wz1xjib+56SomJ+okkgC/oCdh0rO8GLQ7yw4D18mbx7IcHjkKUPki6Elsf5mpKWtuxDtE6/uVInKMErhu94zg==" saltValue="uTHhGNbkP5B27wrI37NA5Q==" spinCount="100000" sheet="1" formatRows="0" insertRows="0" deleteRows="0" selectLockedCells="1"/>
  <dataConsolidate/>
  <mergeCells count="118">
    <mergeCell ref="A26:AK26"/>
    <mergeCell ref="AM28:AR28"/>
    <mergeCell ref="A17:AD17"/>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25:AK25"/>
    <mergeCell ref="A20:AD20"/>
    <mergeCell ref="AE20:AJ20"/>
    <mergeCell ref="A15:F15"/>
    <mergeCell ref="G15:U15"/>
    <mergeCell ref="V15:AD15"/>
    <mergeCell ref="AE15:AJ15"/>
    <mergeCell ref="A21:AD21"/>
    <mergeCell ref="AE21:AJ21"/>
    <mergeCell ref="A23:AK23"/>
    <mergeCell ref="A24:AK24"/>
    <mergeCell ref="AE16:AJ16"/>
    <mergeCell ref="AE17:AJ17"/>
    <mergeCell ref="AE18:AJ18"/>
    <mergeCell ref="AE19:AJ19"/>
    <mergeCell ref="A16:AD16"/>
    <mergeCell ref="AA45:AE45"/>
    <mergeCell ref="AF45:AJ45"/>
    <mergeCell ref="A44:F44"/>
    <mergeCell ref="G44:L44"/>
    <mergeCell ref="M44:Q44"/>
    <mergeCell ref="T44:Z44"/>
    <mergeCell ref="AA44:AE44"/>
    <mergeCell ref="A18:AD18"/>
    <mergeCell ref="A19:AD19"/>
    <mergeCell ref="A27:AK27"/>
    <mergeCell ref="A33:I33"/>
    <mergeCell ref="A35:E35"/>
    <mergeCell ref="B36:E36"/>
    <mergeCell ref="A28:AK28"/>
    <mergeCell ref="A30:AK30"/>
    <mergeCell ref="A31:AK31"/>
    <mergeCell ref="A32:AK32"/>
    <mergeCell ref="A22:AD22"/>
    <mergeCell ref="AE22:AJ22"/>
    <mergeCell ref="A34:E34"/>
    <mergeCell ref="G34:H34"/>
    <mergeCell ref="G40:H40"/>
    <mergeCell ref="AF44:AJ44"/>
    <mergeCell ref="A45:F45"/>
    <mergeCell ref="AF47:AJ47"/>
    <mergeCell ref="A46:F46"/>
    <mergeCell ref="G46:L46"/>
    <mergeCell ref="M46:Q46"/>
    <mergeCell ref="T46:Z46"/>
    <mergeCell ref="AA46:AE46"/>
    <mergeCell ref="AF46:AJ46"/>
    <mergeCell ref="A47:F47"/>
    <mergeCell ref="G47:L47"/>
    <mergeCell ref="M47:Q47"/>
    <mergeCell ref="T47:Z47"/>
    <mergeCell ref="AA47:AE47"/>
    <mergeCell ref="A48:F48"/>
    <mergeCell ref="G48:L48"/>
    <mergeCell ref="M48:Q48"/>
    <mergeCell ref="A49:F49"/>
    <mergeCell ref="G49:L49"/>
    <mergeCell ref="M49:Q49"/>
    <mergeCell ref="G37:H37"/>
    <mergeCell ref="G38:H38"/>
    <mergeCell ref="G39:H39"/>
    <mergeCell ref="A29:AK29"/>
    <mergeCell ref="G45:L45"/>
    <mergeCell ref="M45:Q45"/>
    <mergeCell ref="T45:Z45"/>
    <mergeCell ref="AM26:AS26"/>
    <mergeCell ref="AM25:AS25"/>
    <mergeCell ref="N40:AJ40"/>
    <mergeCell ref="J33:M33"/>
    <mergeCell ref="J35:M39"/>
    <mergeCell ref="J40:M40"/>
    <mergeCell ref="N33:AJ33"/>
    <mergeCell ref="N35:AJ35"/>
    <mergeCell ref="N36:AJ36"/>
    <mergeCell ref="N37:AJ37"/>
    <mergeCell ref="N38:AJ38"/>
    <mergeCell ref="N39:AJ39"/>
    <mergeCell ref="J34:M34"/>
    <mergeCell ref="N34:AJ34"/>
    <mergeCell ref="A38:E38"/>
    <mergeCell ref="A39:E39"/>
    <mergeCell ref="A40:E40"/>
    <mergeCell ref="A37:E37"/>
    <mergeCell ref="G35:H35"/>
    <mergeCell ref="G36:H36"/>
  </mergeCells>
  <phoneticPr fontId="10"/>
  <conditionalFormatting sqref="AA45">
    <cfRule type="expression" dxfId="29" priority="95">
      <formula>OR($AE$21&lt;&gt;$G$46,$AA$45="")</formula>
    </cfRule>
  </conditionalFormatting>
  <conditionalFormatting sqref="A11 A16:A19 AM26">
    <cfRule type="expression" dxfId="28" priority="94">
      <formula>$DD11="×"</formula>
    </cfRule>
  </conditionalFormatting>
  <conditionalFormatting sqref="G11">
    <cfRule type="expression" dxfId="27" priority="93">
      <formula>$DE11="×"</formula>
    </cfRule>
  </conditionalFormatting>
  <conditionalFormatting sqref="V11">
    <cfRule type="expression" dxfId="26" priority="90">
      <formula>$DF11="×"</formula>
    </cfRule>
  </conditionalFormatting>
  <conditionalFormatting sqref="G47">
    <cfRule type="expression" dxfId="25" priority="80">
      <formula>OR(AE20&lt;&gt;$G$49,$G$47="")</formula>
    </cfRule>
  </conditionalFormatting>
  <conditionalFormatting sqref="AA46">
    <cfRule type="expression" dxfId="24" priority="76">
      <formula>OR($AE$21&lt;&gt;$G$46,$AA$46="")</formula>
    </cfRule>
  </conditionalFormatting>
  <conditionalFormatting sqref="AA47">
    <cfRule type="expression" dxfId="23" priority="75">
      <formula>OR($AE$21&lt;&gt;$G$46,$AA$47="")</formula>
    </cfRule>
  </conditionalFormatting>
  <conditionalFormatting sqref="AF46">
    <cfRule type="expression" dxfId="22" priority="74">
      <formula>AND($AA$46&gt;0,$AF$46="")</formula>
    </cfRule>
  </conditionalFormatting>
  <conditionalFormatting sqref="AF47">
    <cfRule type="expression" dxfId="21" priority="73">
      <formula>AND($AA$47&gt;0,$AF$47="")</formula>
    </cfRule>
  </conditionalFormatting>
  <conditionalFormatting sqref="V5:AJ5">
    <cfRule type="expression" dxfId="20" priority="62">
      <formula>$V$5=""</formula>
    </cfRule>
  </conditionalFormatting>
  <conditionalFormatting sqref="AE10:AJ10">
    <cfRule type="expression" dxfId="19" priority="61">
      <formula>AND($AE$10&lt;&gt;"（税込）", $AE$10&lt;&gt;"（税抜）")</formula>
    </cfRule>
  </conditionalFormatting>
  <conditionalFormatting sqref="G45">
    <cfRule type="expression" dxfId="18" priority="220">
      <formula>OR(AE20&lt;&gt;G49,$G$45="")</formula>
    </cfRule>
  </conditionalFormatting>
  <conditionalFormatting sqref="G48">
    <cfRule type="expression" dxfId="17" priority="221">
      <formula>OR(AE20&lt;&gt;G49,$G$48="")</formula>
    </cfRule>
  </conditionalFormatting>
  <conditionalFormatting sqref="AE11:AJ11">
    <cfRule type="expression" dxfId="16" priority="35">
      <formula>$DG11="×"</formula>
    </cfRule>
  </conditionalFormatting>
  <conditionalFormatting sqref="AE17:AJ17">
    <cfRule type="expression" dxfId="15" priority="21">
      <formula>$AM$17="×"</formula>
    </cfRule>
  </conditionalFormatting>
  <conditionalFormatting sqref="AE19:AJ19">
    <cfRule type="expression" dxfId="14" priority="20">
      <formula>$AM$19="×"</formula>
    </cfRule>
  </conditionalFormatting>
  <conditionalFormatting sqref="AE22:AJ22">
    <cfRule type="expression" dxfId="13" priority="17">
      <formula>$AE$22="いいえ"</formula>
    </cfRule>
  </conditionalFormatting>
  <conditionalFormatting sqref="AE21:AJ21">
    <cfRule type="expression" dxfId="12" priority="19">
      <formula>$AM$21="×"</formula>
    </cfRule>
  </conditionalFormatting>
  <conditionalFormatting sqref="AM25">
    <cfRule type="expression" dxfId="11" priority="10">
      <formula>$DD25="×"</formula>
    </cfRule>
  </conditionalFormatting>
  <conditionalFormatting sqref="AM27">
    <cfRule type="expression" dxfId="10" priority="9">
      <formula>$DD27="×"</formula>
    </cfRule>
  </conditionalFormatting>
  <conditionalFormatting sqref="M48">
    <cfRule type="expression" dxfId="9" priority="8">
      <formula>AND($G$48&gt;0,$M$48="")</formula>
    </cfRule>
  </conditionalFormatting>
  <conditionalFormatting sqref="M47">
    <cfRule type="expression" dxfId="8" priority="6">
      <formula>AND($G$47&gt;0,$M$47="")</formula>
    </cfRule>
  </conditionalFormatting>
  <conditionalFormatting sqref="A12:A15">
    <cfRule type="expression" dxfId="7" priority="5">
      <formula>$DD12="×"</formula>
    </cfRule>
  </conditionalFormatting>
  <conditionalFormatting sqref="G12:G15">
    <cfRule type="expression" dxfId="6" priority="4">
      <formula>$DE12="×"</formula>
    </cfRule>
  </conditionalFormatting>
  <conditionalFormatting sqref="V12:V15">
    <cfRule type="expression" dxfId="5" priority="2">
      <formula>$DF12="×"</formula>
    </cfRule>
  </conditionalFormatting>
  <conditionalFormatting sqref="AE12:AJ15">
    <cfRule type="expression" dxfId="4" priority="1">
      <formula>$DG12="×"</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34:H40" xr:uid="{00000000-0002-0000-0000-000001000000}">
      <formula1>"□,☑"</formula1>
    </dataValidation>
    <dataValidation type="textLength" allowBlank="1" showInputMessage="1" showErrorMessage="1" sqref="G11:G15 V11:V15" xr:uid="{00000000-0002-0000-0000-000002000000}">
      <formula1>0</formula1>
      <formula2>100</formula2>
    </dataValidation>
    <dataValidation type="whole" operator="greaterThanOrEqual" allowBlank="1" showInputMessage="1" showErrorMessage="1" sqref="G47:L48 AA46:AE47 G45:L45 AE11:AE19" xr:uid="{00000000-0002-0000-0000-000003000000}">
      <formula1>0</formula1>
    </dataValidation>
    <dataValidation allowBlank="1" showInputMessage="1" showErrorMessage="1" promptTitle="自動判定されます" prompt="計算式が入力してありますので自動判定されます" sqref="AM17:AO17 AN22:AR22 AM21:AM22 AM19:AO19 AN21 AM49" xr:uid="{00000000-0002-0000-0000-000004000000}"/>
    <dataValidation type="whole" imeMode="disabled" operator="greaterThanOrEqual" allowBlank="1" showInputMessage="1" showErrorMessage="1" sqref="AA45:AE45" xr:uid="{00000000-0002-0000-0000-000005000000}">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92"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53" id="{F3CF4CBD-49FC-4002-AA5E-726E743365D4}">
            <xm:f>ExpenseCategoryList!$Y$2="×"</xm:f>
            <x14:dxf>
              <fill>
                <patternFill>
                  <fgColor auto="1"/>
                  <bgColor rgb="FFFF0000"/>
                </patternFill>
              </fill>
            </x14:dxf>
          </x14:cfRule>
          <xm:sqref>G35:H40</xm:sqref>
        </x14:conditionalFormatting>
        <x14:conditionalFormatting xmlns:xm="http://schemas.microsoft.com/office/excel/2006/main">
          <x14:cfRule type="expression" priority="18" id="{B0F73D30-B476-4753-9CDA-327AFB3B45AC}">
            <xm:f>ExpenseCategoryList!$Y$2="×"</xm:f>
            <x14:dxf>
              <fill>
                <patternFill>
                  <fgColor auto="1"/>
                  <bgColor rgb="FFFF0000"/>
                </patternFill>
              </fill>
            </x14:dxf>
          </x14:cfRule>
          <xm:sqref>G34:H34</xm:sqref>
        </x14:conditionalFormatting>
        <x14:conditionalFormatting xmlns:xm="http://schemas.microsoft.com/office/excel/2006/main">
          <x14:cfRule type="expression" priority="3" id="{2BF7CF69-1045-4B13-9266-C3132386E04F}">
            <xm:f>AND(A12="⑩設備処分費",ExpenseCategoryList!$U$2="×")</xm:f>
            <x14:dxf>
              <fill>
                <patternFill>
                  <bgColor rgb="FFFF0000"/>
                </patternFill>
              </fill>
            </x14:dxf>
          </x14:cfRule>
          <xm:sqref>AE12:AE15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ExpenseCategoryList!$B$2:$B$12</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topLeftCell="C1" workbookViewId="0">
      <selection activeCell="J23" sqref="J23"/>
    </sheetView>
  </sheetViews>
  <sheetFormatPr defaultRowHeight="13.5" x14ac:dyDescent="0.15"/>
  <cols>
    <col min="1" max="1" width="3.5" customWidth="1"/>
    <col min="2" max="2" width="15.5" customWidth="1"/>
    <col min="3" max="3" width="9.625" customWidth="1"/>
    <col min="4" max="4" width="18" bestFit="1" customWidth="1"/>
    <col min="5" max="5" width="10.5" customWidth="1"/>
    <col min="6" max="6" width="17.625" customWidth="1"/>
    <col min="7" max="7" width="18.375" bestFit="1" customWidth="1"/>
    <col min="8" max="8" width="20" customWidth="1"/>
    <col min="9" max="9" width="19.375" customWidth="1"/>
    <col min="10" max="10" width="17.75" customWidth="1"/>
    <col min="11" max="11" width="18" customWidth="1"/>
    <col min="12" max="12" width="19.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25" bestFit="1" customWidth="1"/>
    <col min="21" max="21" width="19" bestFit="1" customWidth="1"/>
    <col min="22" max="22" width="19" customWidth="1"/>
    <col min="23" max="23" width="18.75" customWidth="1"/>
    <col min="24" max="24" width="20" customWidth="1"/>
    <col min="25" max="25" width="18.875" customWidth="1"/>
  </cols>
  <sheetData>
    <row r="1" spans="1:25" s="63" customFormat="1" ht="53.1" customHeight="1" x14ac:dyDescent="0.15">
      <c r="A1" s="32" t="s">
        <v>11</v>
      </c>
      <c r="B1" s="32" t="s">
        <v>12</v>
      </c>
      <c r="C1" s="32" t="s">
        <v>137</v>
      </c>
      <c r="D1" s="32" t="s">
        <v>60</v>
      </c>
      <c r="E1" s="32" t="s">
        <v>27</v>
      </c>
      <c r="F1" s="32" t="s">
        <v>67</v>
      </c>
      <c r="G1" s="32" t="s">
        <v>61</v>
      </c>
      <c r="H1" s="61" t="s">
        <v>94</v>
      </c>
      <c r="I1" s="32" t="s">
        <v>65</v>
      </c>
      <c r="J1" s="32" t="s">
        <v>66</v>
      </c>
      <c r="K1" s="32" t="s">
        <v>58</v>
      </c>
      <c r="L1" s="32" t="s">
        <v>62</v>
      </c>
      <c r="M1" s="32" t="s">
        <v>59</v>
      </c>
      <c r="N1" s="32" t="s">
        <v>63</v>
      </c>
      <c r="O1" s="32" t="s">
        <v>64</v>
      </c>
      <c r="P1" s="32" t="s">
        <v>57</v>
      </c>
      <c r="Q1" s="32" t="s">
        <v>52</v>
      </c>
      <c r="R1" s="61" t="s">
        <v>71</v>
      </c>
      <c r="S1" s="32" t="s">
        <v>28</v>
      </c>
      <c r="T1" s="62" t="s">
        <v>53</v>
      </c>
      <c r="U1" s="32" t="s">
        <v>54</v>
      </c>
      <c r="V1" s="32" t="s">
        <v>73</v>
      </c>
      <c r="W1" s="32" t="s">
        <v>75</v>
      </c>
      <c r="X1" s="32" t="s">
        <v>74</v>
      </c>
      <c r="Y1" s="32" t="s">
        <v>76</v>
      </c>
    </row>
    <row r="2" spans="1:25" x14ac:dyDescent="0.15">
      <c r="A2" s="1">
        <v>1</v>
      </c>
      <c r="B2" s="1" t="s">
        <v>21</v>
      </c>
      <c r="C2" s="1">
        <v>1</v>
      </c>
      <c r="D2" s="1">
        <f>SUM(補助事業計画書②!AE16+補助事業計画書②!AE18)</f>
        <v>0</v>
      </c>
      <c r="E2" s="59">
        <f>IF(OR(補助事業計画書②!G35="☑",補助事業計画書②!G36="☑",補助事業計画書②!G37="☑",補助事業計画書②!G38="☑",補助事業計画書②!G39="☑"),2000000,IF(補助事業計画書②!G40="☑",1000000,500000))</f>
        <v>500000</v>
      </c>
      <c r="F2" s="1">
        <f>IF(補助事業計画書②!G36="☑",ROUNDDOWN(補助事業計画書②!AE20*3/4,0),ROUNDDOWN(補助事業計画書②!AE20*2/3,0))</f>
        <v>0</v>
      </c>
      <c r="G2" s="1">
        <f>IF(F2&gt;E2,E2,F2)</f>
        <v>0</v>
      </c>
      <c r="H2" s="75">
        <f>G33</f>
        <v>0</v>
      </c>
      <c r="I2" s="1">
        <f>IF(補助事業計画書②!G36="☑",ROUNDDOWN(補助事業計画書②!AE16*3/4,0),ROUNDDOWN(補助事業計画書②!AE16*2/3,0))</f>
        <v>0</v>
      </c>
      <c r="J2" s="1">
        <f>H2-O2</f>
        <v>0</v>
      </c>
      <c r="K2" s="59">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59">
        <f>SUMIF(補助事業計画書②!A11:A15,"③ウェブサイト関連費",補助事業計画書②!AE11:AE15)</f>
        <v>0</v>
      </c>
      <c r="R2" s="74" t="str">
        <f>IF(補助事業計画書②!AE17="","いいえ",IF(補助事業計画書②!AE17=0,"いいえ",IF(補助事業計画書②!AE21&lt;補助事業計画書②!AE19*4,"いいえ","はい")))</f>
        <v>いいえ</v>
      </c>
      <c r="S2" s="1">
        <f>ROUNDDOWN(補助事業計画書②!AE20/2,0)</f>
        <v>0</v>
      </c>
      <c r="T2" s="1">
        <f>SUMIF(補助事業計画書②!A:A,"⑩設備処分費",補助事業計画書②!AE:AE)</f>
        <v>0</v>
      </c>
      <c r="U2" s="15" t="str">
        <f>IF(T2&lt;=S2,"○","×")</f>
        <v>○</v>
      </c>
      <c r="V2" s="15" t="str">
        <f>IF((COUNTIF(補助事業計画書②!G34,"=☑")+COUNTIF(補助事業計画書②!G35,"=☑")+COUNTIF(補助事業計画書②!G36,"=☑")+COUNTIF(補助事業計画書②!G37,"=☑")+COUNTIF(補助事業計画書②!G38,"=☑")+COUNTIF(補助事業計画書②!G39,"=☑")+COUNTIF(補助事業計画書②!G40,"=☑")=0),"×","○")</f>
        <v>×</v>
      </c>
      <c r="W2" s="15" t="str">
        <f>IF(補助事業計画書②!G36="☑",IF((COUNTIF(補助事業計画書②!G34,"=☑")+COUNTIF(補助事業計画書②!G35,"=☑")+COUNTIF(補助事業計画書②!G36,"=☑")+COUNTIF(補助事業計画書②!G37,"=☑")+COUNTIF(補助事業計画書②!G38,"=☑")+COUNTIF(補助事業計画書②!G39,"=☑")+COUNTIF(補助事業計画書②!G40,"=☑")=2),"○","×"),IF((COUNTIF(補助事業計画書②!G34,"=☑")+COUNTIF(補助事業計画書②!G35,"=☑")+COUNTIF(補助事業計画書②!G36,"=☑")+COUNTIF(補助事業計画書②!G37,"=☑")+COUNTIF(補助事業計画書②!G38,"=☑")+COUNTIF(補助事業計画書②!G39,"=☑")+COUNTIF(補助事業計画書②!G40,"=☑")=1),"○","×"))</f>
        <v>×</v>
      </c>
      <c r="X2" s="15" t="str">
        <f>IF(補助事業計画書②!G36="☑",IF(補助事業計画書②!G35="☑","○","×"),"○")</f>
        <v>○</v>
      </c>
      <c r="Y2" s="15" t="str">
        <f>IF(AND(V2="○",W2="○",X2="○"),"○","×")</f>
        <v>×</v>
      </c>
    </row>
    <row r="3" spans="1:25" x14ac:dyDescent="0.15">
      <c r="A3" s="1">
        <v>2</v>
      </c>
      <c r="B3" s="1" t="s">
        <v>10</v>
      </c>
      <c r="C3" s="1">
        <v>1</v>
      </c>
      <c r="G3" t="s">
        <v>98</v>
      </c>
      <c r="I3" t="s">
        <v>99</v>
      </c>
      <c r="J3" t="s">
        <v>100</v>
      </c>
      <c r="K3" t="s">
        <v>101</v>
      </c>
      <c r="L3" t="s">
        <v>102</v>
      </c>
      <c r="M3" t="s">
        <v>103</v>
      </c>
      <c r="V3" s="73"/>
      <c r="W3" s="73"/>
      <c r="X3" s="73"/>
      <c r="Y3" s="73"/>
    </row>
    <row r="4" spans="1:25" x14ac:dyDescent="0.15">
      <c r="A4" s="1">
        <v>3</v>
      </c>
      <c r="B4" s="1" t="s">
        <v>42</v>
      </c>
      <c r="C4" s="1">
        <v>1</v>
      </c>
      <c r="U4" s="17"/>
    </row>
    <row r="5" spans="1:25" x14ac:dyDescent="0.15">
      <c r="A5" s="1">
        <v>4</v>
      </c>
      <c r="B5" s="1" t="s">
        <v>43</v>
      </c>
      <c r="C5" s="78">
        <v>1</v>
      </c>
      <c r="D5" s="79"/>
      <c r="E5" s="80"/>
      <c r="F5" s="80"/>
      <c r="G5" s="80"/>
      <c r="H5" s="80"/>
      <c r="I5" s="80"/>
      <c r="J5" s="80"/>
      <c r="K5" s="80"/>
      <c r="L5" s="80"/>
      <c r="M5" s="80"/>
      <c r="N5" s="80"/>
      <c r="O5" s="80"/>
      <c r="P5" s="80"/>
      <c r="Q5" s="81"/>
      <c r="U5" s="17"/>
    </row>
    <row r="6" spans="1:25" x14ac:dyDescent="0.15">
      <c r="A6" s="1">
        <v>5</v>
      </c>
      <c r="B6" s="1" t="s">
        <v>44</v>
      </c>
      <c r="C6" s="78">
        <v>1</v>
      </c>
      <c r="D6" s="98" t="s">
        <v>115</v>
      </c>
      <c r="E6" s="97"/>
      <c r="G6" s="83"/>
      <c r="H6" s="83"/>
      <c r="I6" s="83"/>
      <c r="J6" s="46"/>
      <c r="K6" s="46"/>
      <c r="Q6" s="84"/>
    </row>
    <row r="7" spans="1:25" x14ac:dyDescent="0.15">
      <c r="A7" s="1">
        <v>6</v>
      </c>
      <c r="B7" s="1" t="s">
        <v>45</v>
      </c>
      <c r="C7" s="78">
        <v>1</v>
      </c>
      <c r="D7" s="82"/>
      <c r="E7" s="46"/>
      <c r="F7" s="46"/>
      <c r="G7" s="83"/>
      <c r="H7" s="83"/>
      <c r="I7" s="46"/>
      <c r="J7" s="46"/>
      <c r="K7" s="46"/>
      <c r="L7" s="46" t="s">
        <v>95</v>
      </c>
      <c r="M7" s="46"/>
      <c r="N7" s="46" t="s">
        <v>95</v>
      </c>
      <c r="O7" s="46"/>
      <c r="P7" s="46"/>
      <c r="Q7" s="84"/>
    </row>
    <row r="8" spans="1:25" x14ac:dyDescent="0.15">
      <c r="A8" s="1">
        <v>7</v>
      </c>
      <c r="B8" s="1" t="s">
        <v>46</v>
      </c>
      <c r="C8" s="78">
        <v>1</v>
      </c>
      <c r="D8" s="82"/>
      <c r="E8" s="46" t="s">
        <v>80</v>
      </c>
      <c r="F8" s="47"/>
      <c r="G8" s="83" t="s">
        <v>96</v>
      </c>
      <c r="H8" s="83" t="str">
        <f>IF(補助事業計画書②!G36="☑","3/4","2/3")</f>
        <v>2/3</v>
      </c>
      <c r="I8" s="46"/>
      <c r="J8" s="46"/>
      <c r="K8" s="46"/>
      <c r="L8" s="46" t="s">
        <v>78</v>
      </c>
      <c r="M8" s="46"/>
      <c r="N8" s="46" t="s">
        <v>79</v>
      </c>
      <c r="O8" s="46"/>
      <c r="P8" s="46"/>
      <c r="Q8" s="84"/>
    </row>
    <row r="9" spans="1:25" x14ac:dyDescent="0.15">
      <c r="A9" s="1">
        <v>8</v>
      </c>
      <c r="B9" s="1" t="s">
        <v>47</v>
      </c>
      <c r="C9" s="78">
        <v>1</v>
      </c>
      <c r="D9" s="82"/>
      <c r="E9" s="46"/>
      <c r="F9" s="46"/>
      <c r="G9" s="83" t="s">
        <v>97</v>
      </c>
      <c r="H9" s="85" t="str">
        <f xml:space="preserve">  "(1)×補助率 " &amp; H8 &amp;"(※)以内(円未満切捨て)"</f>
        <v>(1)×補助率 2/3(※)以内(円未満切捨て)</v>
      </c>
      <c r="I9" s="46"/>
      <c r="J9" s="46"/>
      <c r="K9" s="46"/>
      <c r="L9" s="46"/>
      <c r="M9" s="46"/>
      <c r="N9" s="46"/>
      <c r="O9" s="46"/>
      <c r="P9" s="46"/>
      <c r="Q9" s="84"/>
    </row>
    <row r="10" spans="1:25" x14ac:dyDescent="0.15">
      <c r="A10" s="1">
        <v>9</v>
      </c>
      <c r="B10" s="1" t="s">
        <v>48</v>
      </c>
      <c r="C10" s="78">
        <v>1</v>
      </c>
      <c r="D10" s="82"/>
      <c r="E10" s="46"/>
      <c r="F10" s="46"/>
      <c r="G10" s="83" t="s">
        <v>97</v>
      </c>
      <c r="H10" s="86" t="str">
        <f>"((6)の1/4を上限(最大50万円))、(c)×補助率 " &amp; H8 &amp; " (※)以内(円未満切捨て)"</f>
        <v>((6)の1/4を上限(最大50万円))、(c)×補助率 2/3 (※)以内(円未満切捨て)</v>
      </c>
      <c r="I10" s="83"/>
      <c r="J10" s="46"/>
      <c r="K10" s="46"/>
      <c r="L10" s="46"/>
      <c r="M10" s="46"/>
      <c r="N10" s="46" t="s">
        <v>81</v>
      </c>
      <c r="O10" s="46"/>
      <c r="P10" s="46" t="s">
        <v>82</v>
      </c>
      <c r="Q10" s="84"/>
    </row>
    <row r="11" spans="1:25" ht="13.15" customHeight="1" x14ac:dyDescent="0.15">
      <c r="A11" s="1">
        <v>10</v>
      </c>
      <c r="B11" s="1" t="s">
        <v>49</v>
      </c>
      <c r="C11" s="78">
        <v>2</v>
      </c>
      <c r="D11" s="82"/>
      <c r="E11" s="253" t="s">
        <v>134</v>
      </c>
      <c r="F11" s="48" t="s">
        <v>83</v>
      </c>
      <c r="G11" s="106" t="str">
        <f>IF(補助事業計画書②!G36="☑","a*3/4","a*2/3")</f>
        <v>a*2/3</v>
      </c>
      <c r="H11" s="54" t="str">
        <f>"(" &amp; IF(補助事業計画書②!G36="☑","a*3/4","a*2/3") &amp; ") /3"</f>
        <v>(a*2/3) /3</v>
      </c>
      <c r="I11" s="49" t="s">
        <v>84</v>
      </c>
      <c r="J11" s="46"/>
      <c r="K11" s="46"/>
      <c r="L11" s="49" t="s">
        <v>85</v>
      </c>
      <c r="M11" s="46"/>
      <c r="N11" s="49" t="s">
        <v>85</v>
      </c>
      <c r="O11" s="258" t="s">
        <v>86</v>
      </c>
      <c r="P11" s="49" t="s">
        <v>85</v>
      </c>
      <c r="Q11" s="84"/>
    </row>
    <row r="12" spans="1:25" x14ac:dyDescent="0.15">
      <c r="A12" s="1">
        <v>11</v>
      </c>
      <c r="B12" s="1" t="s">
        <v>50</v>
      </c>
      <c r="C12" s="78">
        <v>1</v>
      </c>
      <c r="D12" s="82">
        <v>12</v>
      </c>
      <c r="E12" s="253"/>
      <c r="F12" s="250">
        <f>K2</f>
        <v>0</v>
      </c>
      <c r="G12" s="52">
        <f>IF(補助事業計画書②!G36="☑",ROUNDDOWN(F12*3/4,0),ROUNDDOWN(F12*2/3,0))</f>
        <v>0</v>
      </c>
      <c r="H12" s="51">
        <f>ROUNDDOWN(G12/3,0)</f>
        <v>0</v>
      </c>
      <c r="I12" s="51">
        <f>G12</f>
        <v>0</v>
      </c>
      <c r="J12" s="87"/>
      <c r="K12" s="87"/>
      <c r="L12" s="51">
        <f>IF(I20&lt;=G20,I12,"")</f>
        <v>0</v>
      </c>
      <c r="M12" s="46"/>
      <c r="N12" s="51" t="str">
        <f>IF(I20&lt;=G20,"",IF(I12&gt;G20,G20,I12))</f>
        <v/>
      </c>
      <c r="O12" s="258"/>
      <c r="P12" s="51" t="str">
        <f>IF(I20&lt;=G20,"",G20-P16)</f>
        <v/>
      </c>
      <c r="Q12" s="84"/>
    </row>
    <row r="13" spans="1:25" x14ac:dyDescent="0.15">
      <c r="D13" s="82">
        <v>13</v>
      </c>
      <c r="E13" s="253"/>
      <c r="F13" s="250"/>
      <c r="G13" s="112"/>
      <c r="H13" s="110">
        <f>ROUNDDOWN(G12/3,3)</f>
        <v>0</v>
      </c>
      <c r="I13" s="51"/>
      <c r="J13" s="87"/>
      <c r="K13" s="87"/>
      <c r="L13" s="51"/>
      <c r="M13" s="46"/>
      <c r="N13" s="51"/>
      <c r="O13" s="258"/>
      <c r="P13" s="51"/>
      <c r="Q13" s="84"/>
    </row>
    <row r="14" spans="1:25" x14ac:dyDescent="0.15">
      <c r="D14" s="82">
        <v>14</v>
      </c>
      <c r="E14" s="253"/>
      <c r="F14" s="250"/>
      <c r="G14" s="112">
        <f>IF(補助事業計画書②!G36="☑",ROUNDDOWN(F12*3/4,3),ROUNDDOWN(F12*2/3,3)) - G12</f>
        <v>0</v>
      </c>
      <c r="H14" s="110">
        <f>ROUNDDOWN(G12/3,3) - H12</f>
        <v>0</v>
      </c>
      <c r="I14" s="110">
        <f>G14</f>
        <v>0</v>
      </c>
      <c r="J14" s="87"/>
      <c r="K14" s="87"/>
      <c r="L14" s="51"/>
      <c r="M14" s="46"/>
      <c r="N14" s="51"/>
      <c r="O14" s="258"/>
      <c r="P14" s="51"/>
      <c r="Q14" s="84"/>
    </row>
    <row r="15" spans="1:25" x14ac:dyDescent="0.15">
      <c r="D15" s="82">
        <v>15</v>
      </c>
      <c r="E15" s="251" t="s">
        <v>133</v>
      </c>
      <c r="F15" s="53" t="s">
        <v>87</v>
      </c>
      <c r="G15" s="50" t="str">
        <f>IF(補助事業計画書②!G36="☑","c*3/4","c*2/3")</f>
        <v>c*2/3</v>
      </c>
      <c r="H15" s="54" t="str">
        <f>IF(補助事業計画書②!G36="☑","a*1/4","a*2/9")</f>
        <v>a*2/9</v>
      </c>
      <c r="I15" s="54" t="s">
        <v>88</v>
      </c>
      <c r="J15" s="46"/>
      <c r="K15" s="46"/>
      <c r="L15" s="54" t="s">
        <v>89</v>
      </c>
      <c r="M15" s="46"/>
      <c r="N15" s="54" t="s">
        <v>89</v>
      </c>
      <c r="O15" s="258"/>
      <c r="P15" s="54" t="s">
        <v>89</v>
      </c>
      <c r="Q15" s="84"/>
    </row>
    <row r="16" spans="1:25" x14ac:dyDescent="0.15">
      <c r="D16" s="82">
        <v>16</v>
      </c>
      <c r="E16" s="252"/>
      <c r="F16" s="250">
        <f>Q2</f>
        <v>0</v>
      </c>
      <c r="G16" s="52">
        <f>IF(補助事業計画書②!G36="☑",ROUNDDOWN(F16*3/4,0),ROUNDDOWN(F16*2/3,0))</f>
        <v>0</v>
      </c>
      <c r="H16" s="118">
        <f>IF(補助事業計画書②!G36="☑",ROUNDDOWN(F12*1/4,0),ROUNDDOWN(F12*2/9,0))</f>
        <v>0</v>
      </c>
      <c r="I16" s="51">
        <f>IF(IF(G16&gt;H12,H12,G16)&gt;H20,H20,IF(G16&gt;H12,H12,G16))</f>
        <v>0</v>
      </c>
      <c r="J16" s="87"/>
      <c r="K16" s="87"/>
      <c r="L16" s="51">
        <f>IF(I20&lt;=G20,I16,"")</f>
        <v>0</v>
      </c>
      <c r="M16" t="str">
        <f>IF(L16="","",IF(L16*4&gt;L20,"×","〇"))</f>
        <v>〇</v>
      </c>
      <c r="N16" s="51" t="str">
        <f>IF(I20&lt;=G20,"",G20-N12)</f>
        <v/>
      </c>
      <c r="O16" s="258"/>
      <c r="P16" s="51" t="str">
        <f>IF(I20&lt;=G20,"",IF(ROUNDDOWN(G20/4,0)&gt;I16,I16,ROUNDDOWN(G20/4,0)))</f>
        <v/>
      </c>
      <c r="Q16" s="84"/>
    </row>
    <row r="17" spans="4:17" x14ac:dyDescent="0.15">
      <c r="D17" s="82">
        <v>17</v>
      </c>
      <c r="E17" s="252"/>
      <c r="F17" s="250"/>
      <c r="G17" s="112">
        <f>IF(補助事業計画書②!G36="☑",ROUNDDOWN(F16*3/4,3),ROUNDDOWN(F16*2/3,3))</f>
        <v>0</v>
      </c>
      <c r="H17" s="119">
        <f>IF(補助事業計画書②!G36="☑",ROUNDDOWN(F12*1/4,3),ROUNDDOWN(F12*2/9,3))</f>
        <v>0</v>
      </c>
      <c r="I17" s="110">
        <f>IF(IF(G17&gt;H13,H13,G17)&gt;H21,H21,IF(G17&gt;H13,H13,G17))</f>
        <v>0</v>
      </c>
      <c r="J17" s="87"/>
      <c r="K17" s="87"/>
      <c r="L17" s="51"/>
      <c r="N17" s="51"/>
      <c r="O17" s="258"/>
      <c r="P17" s="51"/>
      <c r="Q17" s="84"/>
    </row>
    <row r="18" spans="4:17" ht="14.25" thickBot="1" x14ac:dyDescent="0.2">
      <c r="D18" s="82">
        <v>18</v>
      </c>
      <c r="E18" s="252"/>
      <c r="F18" s="250"/>
      <c r="G18" s="112">
        <f>IF(補助事業計画書②!G36="☑",ROUNDDOWN(F16*3/4,3),ROUNDDOWN(F16*2/3,3))-G16</f>
        <v>0</v>
      </c>
      <c r="H18" s="119">
        <f>IF(補助事業計画書②!G36="☑",ROUNDDOWN(F12*1/4,3),ROUNDDOWN(F12*2/9,3)) - H16</f>
        <v>0</v>
      </c>
      <c r="I18" s="110">
        <f>IF(IF(G17&gt;H13,H13,G17)&gt;H21,H22,IF(G17&gt;H13,H14,G18))</f>
        <v>0</v>
      </c>
      <c r="J18" s="87"/>
      <c r="K18" s="87"/>
      <c r="L18" s="51"/>
      <c r="N18" s="51"/>
      <c r="O18" s="258"/>
      <c r="P18" s="51"/>
      <c r="Q18" s="84"/>
    </row>
    <row r="19" spans="4:17" x14ac:dyDescent="0.15">
      <c r="D19" s="82">
        <v>19</v>
      </c>
      <c r="E19" s="46"/>
      <c r="F19" s="46"/>
      <c r="G19" s="107" t="s">
        <v>90</v>
      </c>
      <c r="H19" s="54" t="s">
        <v>91</v>
      </c>
      <c r="I19" s="108" t="s">
        <v>92</v>
      </c>
      <c r="J19" s="55" t="s">
        <v>93</v>
      </c>
      <c r="K19" s="46"/>
      <c r="L19" s="56" t="s">
        <v>93</v>
      </c>
      <c r="M19" s="46"/>
      <c r="N19" s="56" t="s">
        <v>93</v>
      </c>
      <c r="O19" s="258"/>
      <c r="P19" s="56" t="s">
        <v>93</v>
      </c>
      <c r="Q19" s="84"/>
    </row>
    <row r="20" spans="4:17" x14ac:dyDescent="0.15">
      <c r="D20" s="82">
        <v>20</v>
      </c>
      <c r="E20" s="46"/>
      <c r="F20" s="46"/>
      <c r="G20" s="250">
        <f>E2</f>
        <v>500000</v>
      </c>
      <c r="H20" s="57">
        <f>ROUNDDOWN(G20/4,0)</f>
        <v>125000</v>
      </c>
      <c r="I20" s="109">
        <f>I12+I16</f>
        <v>0</v>
      </c>
      <c r="J20" s="117">
        <f>IF(G20&gt;I20+J22,I20+J22,G20)</f>
        <v>0</v>
      </c>
      <c r="K20" s="58"/>
      <c r="L20" s="51">
        <f>IF(I20&lt;=G20,I20,"")</f>
        <v>0</v>
      </c>
      <c r="M20" s="46"/>
      <c r="N20" s="51" t="str">
        <f>IF(I20&lt;=G20,"",N12+N16)</f>
        <v/>
      </c>
      <c r="O20" s="258"/>
      <c r="P20" s="51" t="str">
        <f>IF(I20&lt;=G20,"",P12+P16)</f>
        <v/>
      </c>
      <c r="Q20" s="84"/>
    </row>
    <row r="21" spans="4:17" x14ac:dyDescent="0.15">
      <c r="D21" s="82">
        <v>21</v>
      </c>
      <c r="E21" s="46"/>
      <c r="F21" s="46"/>
      <c r="G21" s="250"/>
      <c r="H21" s="111">
        <f>ROUNDDOWN(G20/4,3)</f>
        <v>125000</v>
      </c>
      <c r="I21" s="136"/>
      <c r="J21" s="101"/>
      <c r="K21" s="58"/>
      <c r="L21" s="83"/>
      <c r="M21" s="46"/>
      <c r="N21" s="83"/>
      <c r="O21" s="105"/>
      <c r="P21" s="83"/>
      <c r="Q21" s="84"/>
    </row>
    <row r="22" spans="4:17" x14ac:dyDescent="0.15">
      <c r="D22" s="82">
        <v>22</v>
      </c>
      <c r="E22" s="46"/>
      <c r="F22" s="46"/>
      <c r="G22" s="250"/>
      <c r="H22" s="111">
        <f>ROUNDDOWN(G20/4,3) - H20</f>
        <v>0</v>
      </c>
      <c r="I22" s="113">
        <f>I14+I18</f>
        <v>0</v>
      </c>
      <c r="J22" s="101">
        <f>IF(I22&gt;=1,1,0)</f>
        <v>0</v>
      </c>
      <c r="K22" s="58" t="s">
        <v>135</v>
      </c>
      <c r="L22" s="83"/>
      <c r="M22" s="46"/>
      <c r="N22" s="83"/>
      <c r="O22" s="105"/>
      <c r="P22" s="83"/>
      <c r="Q22" s="84"/>
    </row>
    <row r="23" spans="4:17" x14ac:dyDescent="0.15">
      <c r="D23" s="82">
        <v>23</v>
      </c>
      <c r="E23" s="89"/>
      <c r="F23" s="89"/>
      <c r="G23" s="90"/>
      <c r="H23" s="90"/>
      <c r="I23" s="90"/>
      <c r="J23" s="89"/>
      <c r="K23" s="89"/>
      <c r="L23" s="89"/>
      <c r="M23" s="89"/>
      <c r="N23" s="89"/>
      <c r="O23" s="89"/>
      <c r="P23" s="89"/>
      <c r="Q23" s="91"/>
    </row>
    <row r="24" spans="4:17" x14ac:dyDescent="0.15">
      <c r="D24" s="79"/>
      <c r="E24" s="92"/>
      <c r="F24" s="92"/>
      <c r="G24" s="93"/>
      <c r="H24" s="93"/>
      <c r="I24" s="93"/>
      <c r="J24" s="92"/>
      <c r="K24" s="94"/>
      <c r="L24" s="46"/>
      <c r="M24" s="46"/>
      <c r="N24" s="46"/>
      <c r="O24" s="46"/>
      <c r="P24" s="46"/>
    </row>
    <row r="25" spans="4:17" x14ac:dyDescent="0.15">
      <c r="D25" s="98" t="s">
        <v>116</v>
      </c>
      <c r="F25" s="46"/>
      <c r="G25" s="46"/>
      <c r="H25" s="83"/>
      <c r="I25" s="83"/>
      <c r="J25" s="83"/>
      <c r="K25" s="99"/>
      <c r="L25" s="46"/>
      <c r="M25" s="46"/>
      <c r="N25" s="46"/>
      <c r="O25" s="46"/>
      <c r="P25" s="46"/>
      <c r="Q25" s="46"/>
    </row>
    <row r="26" spans="4:17" x14ac:dyDescent="0.15">
      <c r="D26" s="98"/>
      <c r="F26" s="46"/>
      <c r="G26" s="46"/>
      <c r="H26" s="83"/>
      <c r="I26" s="83"/>
      <c r="J26" s="83"/>
      <c r="K26" s="99"/>
      <c r="L26" s="46"/>
      <c r="M26" s="46"/>
      <c r="N26" s="46"/>
      <c r="O26" s="46"/>
      <c r="P26" s="46"/>
      <c r="Q26" s="46"/>
    </row>
    <row r="27" spans="4:17" x14ac:dyDescent="0.15">
      <c r="D27" s="82"/>
      <c r="E27" s="39" t="s">
        <v>72</v>
      </c>
      <c r="F27" s="46"/>
      <c r="G27" s="46" t="s">
        <v>81</v>
      </c>
      <c r="H27" s="46"/>
      <c r="I27" s="46" t="s">
        <v>82</v>
      </c>
      <c r="J27" s="83"/>
      <c r="K27" s="99"/>
      <c r="L27" s="46"/>
      <c r="M27" s="46"/>
      <c r="N27" s="46"/>
      <c r="O27" s="46"/>
      <c r="P27" s="46"/>
      <c r="Q27" s="46"/>
    </row>
    <row r="28" spans="4:17" x14ac:dyDescent="0.15">
      <c r="D28" s="82"/>
      <c r="E28" s="49" t="s">
        <v>85</v>
      </c>
      <c r="F28" s="46"/>
      <c r="G28" s="49" t="s">
        <v>85</v>
      </c>
      <c r="H28" s="258" t="s">
        <v>86</v>
      </c>
      <c r="I28" s="49" t="s">
        <v>85</v>
      </c>
      <c r="J28" s="83"/>
      <c r="K28" s="99"/>
      <c r="L28" s="46"/>
      <c r="M28" s="46"/>
      <c r="N28" s="46"/>
      <c r="O28" s="46"/>
      <c r="P28" s="46"/>
      <c r="Q28" s="46"/>
    </row>
    <row r="29" spans="4:17" ht="17.25" x14ac:dyDescent="0.15">
      <c r="D29" s="82">
        <v>29</v>
      </c>
      <c r="E29" s="60" t="str">
        <f>IF(補助事業計画書②!AE17=0,"×",IF(補助事業計画書②!AE17&lt;I29,"×",IF(補助事業計画書②!AE17&gt;G29,"×","〇")))</f>
        <v>×</v>
      </c>
      <c r="F29">
        <v>29</v>
      </c>
      <c r="G29" s="51">
        <f>IF(I20&lt;=G20,I12,IF(I12&gt;G20,G20,I12))</f>
        <v>0</v>
      </c>
      <c r="H29" s="258"/>
      <c r="I29" s="51">
        <f>IF(I20&lt;=G20,I12,G20-P16)</f>
        <v>0</v>
      </c>
      <c r="J29" s="83"/>
      <c r="K29" s="99"/>
      <c r="L29" s="46"/>
      <c r="M29" s="46"/>
      <c r="N29" s="46"/>
      <c r="O29" s="46"/>
      <c r="P29" s="46"/>
      <c r="Q29" s="46"/>
    </row>
    <row r="30" spans="4:17" x14ac:dyDescent="0.15">
      <c r="D30" s="82"/>
      <c r="E30" s="54" t="s">
        <v>89</v>
      </c>
      <c r="G30" s="54" t="s">
        <v>89</v>
      </c>
      <c r="H30" s="258"/>
      <c r="I30" s="54" t="s">
        <v>89</v>
      </c>
      <c r="K30" s="84"/>
    </row>
    <row r="31" spans="4:17" ht="17.25" x14ac:dyDescent="0.15">
      <c r="D31" s="82">
        <v>30</v>
      </c>
      <c r="E31" s="60" t="str">
        <f>IF(補助事業計画書②!AE19&gt;I31,"×",IF(補助事業計画書②!AE19&lt;G31,"×","〇"))</f>
        <v>〇</v>
      </c>
      <c r="F31">
        <v>30</v>
      </c>
      <c r="G31" s="51">
        <f>IF(I20&lt;=G20,I16,G20-N12)</f>
        <v>0</v>
      </c>
      <c r="H31" s="258"/>
      <c r="I31" s="51">
        <f>IF(I20&lt;=G20,I16,IF(ROUNDDOWN(G20/4,0)&gt;I16,I16,ROUNDDOWN(G20/4,0)))</f>
        <v>0</v>
      </c>
      <c r="K31" s="84"/>
    </row>
    <row r="32" spans="4:17" x14ac:dyDescent="0.15">
      <c r="D32" s="82"/>
      <c r="E32" s="56" t="s">
        <v>93</v>
      </c>
      <c r="G32" s="56" t="s">
        <v>93</v>
      </c>
      <c r="H32" s="258"/>
      <c r="I32" s="56" t="s">
        <v>93</v>
      </c>
      <c r="K32" s="84"/>
    </row>
    <row r="33" spans="4:11" ht="17.25" x14ac:dyDescent="0.15">
      <c r="D33" s="82">
        <v>33</v>
      </c>
      <c r="E33" s="60" t="s">
        <v>142</v>
      </c>
      <c r="F33">
        <v>33</v>
      </c>
      <c r="G33" s="51">
        <f>IF(I20&lt;=G20,I20,N12+N16)</f>
        <v>0</v>
      </c>
      <c r="H33" s="258"/>
      <c r="I33" s="51">
        <f>IF(I20&lt;=G20,I20,I29+I31)</f>
        <v>0</v>
      </c>
      <c r="K33" s="84"/>
    </row>
    <row r="34" spans="4:11" ht="17.25" x14ac:dyDescent="0.15">
      <c r="D34" s="95" t="s">
        <v>71</v>
      </c>
      <c r="E34" s="60" t="str">
        <f>IF(補助事業計画書②!AE17="","×",IF(補助事業計画書②!AE17=0,"×",IF(補助事業計画書②!AE21&lt;補助事業計画書②!AE19*4,"×","〇")))</f>
        <v>×</v>
      </c>
      <c r="K34" s="84"/>
    </row>
    <row r="35" spans="4:11" x14ac:dyDescent="0.15">
      <c r="D35" s="82"/>
      <c r="K35" s="84"/>
    </row>
    <row r="36" spans="4:11" x14ac:dyDescent="0.15">
      <c r="D36" s="82"/>
      <c r="G36" s="1" t="s">
        <v>104</v>
      </c>
      <c r="H36" s="1"/>
      <c r="I36" s="256" t="s">
        <v>111</v>
      </c>
      <c r="J36" s="257"/>
      <c r="K36" s="84"/>
    </row>
    <row r="37" spans="4:11" ht="13.5" customHeight="1" x14ac:dyDescent="0.15">
      <c r="D37" s="82" t="s">
        <v>118</v>
      </c>
      <c r="E37" t="str">
        <f>IF(OR(補助事業計画書②!G35="☑",補助事業計画書②!G36="☑",補助事業計画書②!G37="☑",補助事業計画書②!G38="☑",補助事業計画書②!G39="☑"),"200万",IF(補助事業計画書②!G40="☑","100万","50万"))</f>
        <v>50万</v>
      </c>
      <c r="F37" s="102" t="s">
        <v>151</v>
      </c>
      <c r="G37" s="1" t="s">
        <v>105</v>
      </c>
      <c r="H37" s="76">
        <f>K2</f>
        <v>0</v>
      </c>
      <c r="I37" s="254" t="s">
        <v>112</v>
      </c>
      <c r="J37" s="255"/>
      <c r="K37" s="84"/>
    </row>
    <row r="38" spans="4:11" x14ac:dyDescent="0.15">
      <c r="D38" s="82" t="s">
        <v>156</v>
      </c>
      <c r="E38" s="115" t="str">
        <f>IF(V2="×","",DBCS(E37) &amp; "円")</f>
        <v/>
      </c>
      <c r="F38" s="102" t="s">
        <v>152</v>
      </c>
      <c r="G38" s="1" t="s">
        <v>106</v>
      </c>
      <c r="H38" s="51">
        <f>補助事業計画書②!$AE$17</f>
        <v>0</v>
      </c>
      <c r="I38" s="100">
        <f>IF(AND(H37=0,H38=0),0,IF(OR(H37=0,H37=""),"",ROUNDDOWN(H38*100/H37,2)))</f>
        <v>0</v>
      </c>
      <c r="J38" s="1" t="str">
        <f>IF(補助事業計画書②!AE17="","",IF(I38="","",TEXT(I38,"##0.00")&amp;"%"))</f>
        <v>0.00%</v>
      </c>
      <c r="K38" s="84"/>
    </row>
    <row r="39" spans="4:11" x14ac:dyDescent="0.15">
      <c r="D39" s="82" t="s">
        <v>157</v>
      </c>
      <c r="E39" s="83" t="str">
        <f>H8</f>
        <v>2/3</v>
      </c>
      <c r="F39" s="102" t="s">
        <v>136</v>
      </c>
      <c r="G39" s="1" t="s">
        <v>108</v>
      </c>
      <c r="H39" s="76">
        <f>Q2</f>
        <v>0</v>
      </c>
      <c r="I39" s="254" t="s">
        <v>113</v>
      </c>
      <c r="J39" s="255"/>
      <c r="K39" s="84"/>
    </row>
    <row r="40" spans="4:11" x14ac:dyDescent="0.15">
      <c r="D40" s="82" t="s">
        <v>156</v>
      </c>
      <c r="E40" s="115" t="str">
        <f>IF(V2="×","",DBCS(E39) )</f>
        <v/>
      </c>
      <c r="F40" s="102" t="s">
        <v>153</v>
      </c>
      <c r="G40" s="1" t="s">
        <v>107</v>
      </c>
      <c r="H40" s="101">
        <f>H42-H38</f>
        <v>0</v>
      </c>
      <c r="I40" s="100" t="str">
        <f>IF(H41=0,"",IF(AND(H39=0,H40=0),0,IF(OR(H39=0,H39=""),"",ROUNDDOWN(H40*100/H39,2))))</f>
        <v/>
      </c>
      <c r="J40" s="1" t="str">
        <f>IF(補助事業計画書②!AE17="","",IF(I40="","",TEXT(I40,"##0.00")&amp;"%"))</f>
        <v/>
      </c>
      <c r="K40" s="84"/>
    </row>
    <row r="41" spans="4:11" x14ac:dyDescent="0.15">
      <c r="D41" s="82"/>
      <c r="F41" s="102" t="s">
        <v>154</v>
      </c>
      <c r="G41" s="77" t="s">
        <v>109</v>
      </c>
      <c r="H41" s="76">
        <f>D2</f>
        <v>0</v>
      </c>
      <c r="I41" s="254" t="s">
        <v>114</v>
      </c>
      <c r="J41" s="255"/>
      <c r="K41" s="84"/>
    </row>
    <row r="42" spans="4:11" x14ac:dyDescent="0.15">
      <c r="D42" s="82"/>
      <c r="F42" s="102" t="s">
        <v>155</v>
      </c>
      <c r="G42" s="1" t="s">
        <v>110</v>
      </c>
      <c r="H42" s="76">
        <f>H2</f>
        <v>0</v>
      </c>
      <c r="I42" s="100" t="str">
        <f>IF(H41=0,"",IF(H40=0,0,IF(OR(H42=0,H42="",H39=0,H39=""),"",ROUNDDOWN(H40*100/H42,2))))</f>
        <v/>
      </c>
      <c r="J42" s="1" t="str">
        <f>IF(補助事業計画書②!AE17="","",IF(I42="","",TEXT(I42,"##0.00") &amp; "%"))</f>
        <v/>
      </c>
      <c r="K42" s="84"/>
    </row>
    <row r="43" spans="4:11" x14ac:dyDescent="0.15">
      <c r="D43" s="88"/>
      <c r="E43" s="96"/>
      <c r="F43" s="96"/>
      <c r="G43" s="96"/>
      <c r="H43" s="96"/>
      <c r="I43" s="96"/>
      <c r="J43" s="96"/>
      <c r="K43" s="91"/>
    </row>
    <row r="44" spans="4:11" x14ac:dyDescent="0.15">
      <c r="D44" s="79"/>
      <c r="E44" s="80"/>
      <c r="F44" s="80"/>
      <c r="G44" s="80"/>
      <c r="H44" s="80"/>
      <c r="I44" s="80"/>
      <c r="J44" s="80"/>
      <c r="K44" s="81"/>
    </row>
    <row r="45" spans="4:11" x14ac:dyDescent="0.15">
      <c r="D45" s="98" t="s">
        <v>140</v>
      </c>
      <c r="K45" s="84"/>
    </row>
    <row r="46" spans="4:11" x14ac:dyDescent="0.15">
      <c r="D46" s="116" t="s">
        <v>141</v>
      </c>
      <c r="E46" s="115" t="str">
        <f>IF(J22=0,"","※")</f>
        <v/>
      </c>
      <c r="K46" s="84"/>
    </row>
    <row r="47" spans="4:11" x14ac:dyDescent="0.15">
      <c r="D47" s="98"/>
      <c r="K47" s="84"/>
    </row>
    <row r="48" spans="4:11" x14ac:dyDescent="0.15">
      <c r="D48" s="82" t="s">
        <v>138</v>
      </c>
      <c r="E48" s="115" t="str">
        <f>IF(F16=0,"",IF(F12=0,"ウェブサイト関連費のみでの申請はできません",""))</f>
        <v/>
      </c>
      <c r="K48" s="84"/>
    </row>
    <row r="49" spans="4:11" x14ac:dyDescent="0.15">
      <c r="D49" s="82" t="s">
        <v>139</v>
      </c>
      <c r="E49" s="115" t="str">
        <f>IF(U2="○","","設備処分費が、(5)補助対象経費合計の1/2を超えています")</f>
        <v/>
      </c>
      <c r="K49" s="84"/>
    </row>
    <row r="50" spans="4:11" x14ac:dyDescent="0.15">
      <c r="D50" s="82"/>
      <c r="K50" s="84"/>
    </row>
    <row r="51" spans="4:11" x14ac:dyDescent="0.15">
      <c r="D51" s="82"/>
      <c r="K51" s="84"/>
    </row>
    <row r="52" spans="4:11" x14ac:dyDescent="0.15">
      <c r="D52" s="82"/>
      <c r="K52" s="84"/>
    </row>
    <row r="53" spans="4:11" x14ac:dyDescent="0.15">
      <c r="D53" s="82"/>
      <c r="K53" s="84"/>
    </row>
    <row r="54" spans="4:11" x14ac:dyDescent="0.15">
      <c r="D54" s="82"/>
      <c r="K54" s="84"/>
    </row>
    <row r="55" spans="4:11" x14ac:dyDescent="0.15">
      <c r="D55" s="126"/>
      <c r="E55" s="127"/>
      <c r="F55" s="127"/>
      <c r="G55" s="127"/>
      <c r="H55" s="127"/>
      <c r="I55" s="127"/>
      <c r="J55" s="127"/>
      <c r="K55" s="128"/>
    </row>
    <row r="56" spans="4:11" x14ac:dyDescent="0.15">
      <c r="D56" s="129" t="s">
        <v>145</v>
      </c>
      <c r="E56" s="125"/>
      <c r="F56" s="125"/>
      <c r="G56" s="125"/>
      <c r="H56" s="125"/>
      <c r="I56" s="125"/>
      <c r="J56" s="125"/>
      <c r="K56" s="130"/>
    </row>
    <row r="57" spans="4:11" x14ac:dyDescent="0.15">
      <c r="D57" s="135" t="str">
        <f>IF(補助事業計画書②!G49=補助事業計画書②!AE20,"〇","×")</f>
        <v>〇</v>
      </c>
      <c r="E57" s="125"/>
      <c r="F57" s="125"/>
      <c r="G57" s="125"/>
      <c r="H57" s="125"/>
      <c r="I57" s="125"/>
      <c r="J57" s="125"/>
      <c r="K57" s="130"/>
    </row>
    <row r="58" spans="4:11" x14ac:dyDescent="0.15">
      <c r="D58" s="131"/>
      <c r="E58" s="125"/>
      <c r="F58" s="125"/>
      <c r="G58" s="125"/>
      <c r="H58" s="125"/>
      <c r="I58" s="125"/>
      <c r="J58" s="125"/>
      <c r="K58" s="130"/>
    </row>
    <row r="59" spans="4:11" x14ac:dyDescent="0.15">
      <c r="D59" s="131"/>
      <c r="E59" s="125"/>
      <c r="F59" s="125"/>
      <c r="G59" s="125"/>
      <c r="H59" s="125"/>
      <c r="I59" s="125"/>
      <c r="J59" s="125"/>
      <c r="K59" s="130"/>
    </row>
    <row r="60" spans="4:11" x14ac:dyDescent="0.15">
      <c r="D60" s="132"/>
      <c r="E60" s="133"/>
      <c r="F60" s="133"/>
      <c r="G60" s="133"/>
      <c r="H60" s="133"/>
      <c r="I60" s="133"/>
      <c r="J60" s="133"/>
      <c r="K60" s="134"/>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3.xml><?xml version="1.0" encoding="utf-8"?>
<ds:datastoreItem xmlns:ds="http://schemas.openxmlformats.org/officeDocument/2006/customXml" ds:itemID="{9A19378C-7740-4896-A387-D6C60868199D}">
  <ds:schemaRefs>
    <ds:schemaRef ds:uri="http://purl.org/dc/elements/1.1/"/>
    <ds:schemaRef ds:uri="http://purl.org/dc/terms/"/>
    <ds:schemaRef ds:uri="e9a2f1ec-d622-4400-872a-35e0370e4027"/>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KENREN-M</cp:lastModifiedBy>
  <cp:lastPrinted>2022-08-19T05:48:07Z</cp:lastPrinted>
  <dcterms:created xsi:type="dcterms:W3CDTF">2020-03-24T00:10:15Z</dcterms:created>
  <dcterms:modified xsi:type="dcterms:W3CDTF">2023-01-24T06:59:49Z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